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6fileserver\R7年度\11行政経営部\03税務課\01税制係\業務\（C2)国民健康保険税\C201　庶務\HP試算シート\"/>
    </mc:Choice>
  </mc:AlternateContent>
  <xr:revisionPtr revIDLastSave="0" documentId="13_ncr:1_{272B3059-B1EA-4A21-9D31-DF428619E26E}" xr6:coauthVersionLast="47" xr6:coauthVersionMax="47" xr10:uidLastSave="{00000000-0000-0000-0000-000000000000}"/>
  <bookViews>
    <workbookView xWindow="6690" yWindow="570" windowWidth="17565" windowHeight="13245" xr2:uid="{00000000-000D-0000-FFFF-FFFF00000000}"/>
  </bookViews>
  <sheets>
    <sheet name="計算シート" sheetId="1" r:id="rId1"/>
    <sheet name="新税率" sheetId="2" r:id="rId2"/>
  </sheets>
  <definedNames>
    <definedName name="_xlnm.Print_Area" localSheetId="0">計算シート!$A$1:$Z$62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8" i="1" l="1"/>
  <c r="AH36" i="1" l="1"/>
  <c r="BC38" i="1" l="1"/>
  <c r="BC36" i="1"/>
  <c r="BC34" i="1"/>
  <c r="BC32" i="1"/>
  <c r="BC30" i="1"/>
  <c r="BC28" i="1"/>
  <c r="BC26" i="1"/>
  <c r="BB38" i="1"/>
  <c r="BB36" i="1"/>
  <c r="BB34" i="1"/>
  <c r="AT26" i="1"/>
  <c r="AY26" i="1"/>
  <c r="AD48" i="1"/>
  <c r="AD42" i="1"/>
  <c r="AD38" i="1"/>
  <c r="AD36" i="1"/>
  <c r="AD34" i="1"/>
  <c r="AD32" i="1"/>
  <c r="AD30" i="1"/>
  <c r="AD28" i="1"/>
  <c r="AD26" i="1"/>
  <c r="AF33" i="1" l="1"/>
  <c r="AG33" i="1" s="1"/>
  <c r="AF31" i="1"/>
  <c r="AG31" i="1" s="1"/>
  <c r="AF35" i="1"/>
  <c r="AG35" i="1" s="1"/>
  <c r="AF39" i="1"/>
  <c r="AG39" i="1"/>
  <c r="AF37" i="1"/>
  <c r="AG37" i="1" s="1"/>
  <c r="BC40" i="1"/>
  <c r="P44" i="1" l="1"/>
  <c r="U52" i="1" s="1"/>
  <c r="U53" i="1"/>
  <c r="P42" i="1"/>
  <c r="K52" i="1" l="1"/>
  <c r="F52" i="1"/>
  <c r="AH27" i="1"/>
  <c r="AH26" i="1"/>
  <c r="F53" i="1" l="1"/>
  <c r="K53" i="1"/>
  <c r="AI27" i="1"/>
  <c r="AO26" i="1" s="1"/>
  <c r="AI26" i="1"/>
  <c r="AE26" i="1" s="1"/>
  <c r="AY28" i="1"/>
  <c r="AY30" i="1"/>
  <c r="AY32" i="1"/>
  <c r="AY34" i="1"/>
  <c r="AY36" i="1"/>
  <c r="AY38" i="1"/>
  <c r="AF26" i="1" l="1"/>
  <c r="AF27" i="1"/>
  <c r="AG27" i="1" s="1"/>
  <c r="AH39" i="1"/>
  <c r="AH38" i="1"/>
  <c r="AI39" i="1" s="1"/>
  <c r="AH37" i="1"/>
  <c r="AH35" i="1"/>
  <c r="AH34" i="1"/>
  <c r="AI35" i="1" s="1"/>
  <c r="AH33" i="1"/>
  <c r="AH32" i="1"/>
  <c r="AH31" i="1"/>
  <c r="AH30" i="1"/>
  <c r="AH29" i="1"/>
  <c r="AH28" i="1"/>
  <c r="AH43" i="1"/>
  <c r="AH42" i="1"/>
  <c r="AI43" i="1" s="1"/>
  <c r="AO34" i="1" l="1"/>
  <c r="AF34" i="1"/>
  <c r="AO38" i="1"/>
  <c r="AF38" i="1"/>
  <c r="AI29" i="1"/>
  <c r="AI28" i="1"/>
  <c r="AE28" i="1" s="1"/>
  <c r="AI37" i="1"/>
  <c r="AO36" i="1" s="1"/>
  <c r="AI33" i="1"/>
  <c r="AI31" i="1"/>
  <c r="AE39" i="1"/>
  <c r="AE38" i="1"/>
  <c r="AI32" i="1"/>
  <c r="AE33" i="1" s="1"/>
  <c r="AI38" i="1"/>
  <c r="AI30" i="1"/>
  <c r="AE30" i="1" s="1"/>
  <c r="AI34" i="1"/>
  <c r="AE35" i="1" s="1"/>
  <c r="AI36" i="1"/>
  <c r="AE36" i="1" s="1"/>
  <c r="AO32" i="1" l="1"/>
  <c r="AF32" i="1"/>
  <c r="AO30" i="1"/>
  <c r="AF30" i="1"/>
  <c r="AF28" i="1"/>
  <c r="AF29" i="1"/>
  <c r="AG29" i="1" s="1"/>
  <c r="AF36" i="1"/>
  <c r="AI41" i="1"/>
  <c r="AD39" i="1"/>
  <c r="AG38" i="1" s="1"/>
  <c r="AE31" i="1"/>
  <c r="AE29" i="1"/>
  <c r="AE32" i="1"/>
  <c r="AD33" i="1" s="1"/>
  <c r="AG32" i="1" s="1"/>
  <c r="AE34" i="1"/>
  <c r="AE37" i="1"/>
  <c r="AD35" i="1" l="1"/>
  <c r="AG34" i="1" s="1"/>
  <c r="AD37" i="1"/>
  <c r="AG36" i="1" s="1"/>
  <c r="AD31" i="1"/>
  <c r="AG30" i="1" s="1"/>
  <c r="AD29" i="1"/>
  <c r="AG28" i="1" s="1"/>
  <c r="AJ26" i="1" l="1"/>
  <c r="AJ28" i="1"/>
  <c r="AK28" i="1" s="1"/>
  <c r="AL28" i="1" s="1"/>
  <c r="AT28" i="1"/>
  <c r="AJ30" i="1"/>
  <c r="AT30" i="1"/>
  <c r="AJ32" i="1"/>
  <c r="AT32" i="1"/>
  <c r="AJ34" i="1"/>
  <c r="AL34" i="1" s="1"/>
  <c r="AT34" i="1"/>
  <c r="AJ36" i="1"/>
  <c r="AL36" i="1" s="1"/>
  <c r="AS36" i="1"/>
  <c r="AT36" i="1"/>
  <c r="AJ38" i="1"/>
  <c r="AT38" i="1"/>
  <c r="AJ42" i="1"/>
  <c r="AL35" i="1" l="1"/>
  <c r="AL37" i="1"/>
  <c r="AI42" i="1"/>
  <c r="AI46" i="1" s="1"/>
  <c r="AK34" i="1"/>
  <c r="AK36" i="1"/>
  <c r="AJ40" i="1"/>
  <c r="AJ45" i="1" s="1"/>
  <c r="AT40" i="1"/>
  <c r="AK32" i="1"/>
  <c r="AL32" i="1" s="1"/>
  <c r="AK38" i="1"/>
  <c r="AL38" i="1" s="1"/>
  <c r="AK30" i="1"/>
  <c r="AL30" i="1" s="1"/>
  <c r="AK31" i="1"/>
  <c r="AL31" i="1" s="1"/>
  <c r="P53" i="1" l="1"/>
  <c r="P43" i="1"/>
  <c r="P52" i="1" s="1"/>
  <c r="AE27" i="1"/>
  <c r="AD27" i="1" s="1"/>
  <c r="AE42" i="1"/>
  <c r="AE43" i="1"/>
  <c r="AK39" i="1"/>
  <c r="AL39" i="1" s="1"/>
  <c r="AK35" i="1"/>
  <c r="AI40" i="1"/>
  <c r="AM28" i="1"/>
  <c r="AN28" i="1" s="1"/>
  <c r="BB28" i="1" s="1"/>
  <c r="AM36" i="1"/>
  <c r="AN36" i="1" s="1"/>
  <c r="AM34" i="1"/>
  <c r="AN34" i="1" s="1"/>
  <c r="AM38" i="1"/>
  <c r="AN38" i="1" s="1"/>
  <c r="AK37" i="1"/>
  <c r="AM32" i="1"/>
  <c r="AN32" i="1" s="1"/>
  <c r="BB32" i="1" s="1"/>
  <c r="AM30" i="1"/>
  <c r="AN30" i="1" s="1"/>
  <c r="AK29" i="1"/>
  <c r="AL29" i="1" s="1"/>
  <c r="AK33" i="1"/>
  <c r="AL33" i="1" s="1"/>
  <c r="AX30" i="1" l="1"/>
  <c r="BB30" i="1"/>
  <c r="AX36" i="1"/>
  <c r="AX38" i="1"/>
  <c r="AS38" i="1"/>
  <c r="AX34" i="1"/>
  <c r="AS34" i="1"/>
  <c r="AS32" i="1"/>
  <c r="AX32" i="1"/>
  <c r="AS30" i="1"/>
  <c r="AD43" i="1"/>
  <c r="AG26" i="1"/>
  <c r="AK26" i="1" l="1"/>
  <c r="AL26" i="1" s="1"/>
  <c r="AL40" i="1" s="1"/>
  <c r="AK27" i="1"/>
  <c r="AL27" i="1" s="1"/>
  <c r="AL41" i="1" s="1"/>
  <c r="AS28" i="1"/>
  <c r="AX28" i="1"/>
  <c r="AG42" i="1"/>
  <c r="AG40" i="1"/>
  <c r="AG45" i="1" l="1"/>
  <c r="AK43" i="1"/>
  <c r="AL43" i="1" s="1"/>
  <c r="AL46" i="1" s="1"/>
  <c r="AK41" i="1"/>
  <c r="AK40" i="1"/>
  <c r="AO42" i="1"/>
  <c r="AO45" i="1" s="1"/>
  <c r="AM26" i="1"/>
  <c r="AN26" i="1" s="1"/>
  <c r="BB26" i="1" l="1"/>
  <c r="BB40" i="1" s="1"/>
  <c r="U50" i="1" s="1"/>
  <c r="AX26" i="1"/>
  <c r="AP54" i="1"/>
  <c r="AP53" i="1"/>
  <c r="AO53" i="1"/>
  <c r="AN53" i="1"/>
  <c r="AO54" i="1"/>
  <c r="AM54" i="1"/>
  <c r="AN54" i="1"/>
  <c r="AM53" i="1"/>
  <c r="AK54" i="1"/>
  <c r="AK53" i="1"/>
  <c r="AH53" i="1"/>
  <c r="AH54" i="1"/>
  <c r="AI53" i="1"/>
  <c r="AI54" i="1"/>
  <c r="AJ54" i="1"/>
  <c r="AJ53" i="1"/>
  <c r="AP55" i="1"/>
  <c r="AM55" i="1"/>
  <c r="AJ52" i="1"/>
  <c r="AO55" i="1"/>
  <c r="AO52" i="1"/>
  <c r="AP52" i="1"/>
  <c r="AM52" i="1"/>
  <c r="AX40" i="1"/>
  <c r="AN40" i="1"/>
  <c r="AS26" i="1"/>
  <c r="AS40" i="1" s="1"/>
  <c r="P50" i="1" s="1"/>
  <c r="AK46" i="1"/>
  <c r="AO56" i="1" l="1"/>
  <c r="AP56" i="1"/>
  <c r="N46" i="1"/>
  <c r="F50" i="1" s="1"/>
  <c r="AY40" i="1"/>
  <c r="AN55" i="1"/>
  <c r="AH52" i="1"/>
  <c r="AN52" i="1"/>
  <c r="AI52" i="1"/>
  <c r="P45" i="1" l="1"/>
  <c r="K50" i="1"/>
  <c r="AH55" i="1"/>
  <c r="F54" i="1" s="1"/>
  <c r="AJ55" i="1"/>
  <c r="P54" i="1" s="1"/>
  <c r="AE53" i="1" s="1"/>
  <c r="AE56" i="1" s="1"/>
  <c r="P56" i="1" s="1"/>
  <c r="AI55" i="1"/>
  <c r="K54" i="1" s="1"/>
  <c r="AM56" i="1"/>
  <c r="AN56" i="1"/>
  <c r="F55" i="1" l="1"/>
  <c r="AC53" i="1" s="1"/>
  <c r="AC56" i="1" s="1"/>
  <c r="F56" i="1" s="1"/>
  <c r="AK52" i="1"/>
  <c r="K55" i="1"/>
  <c r="AD53" i="1" s="1"/>
  <c r="AD56" i="1" s="1"/>
  <c r="K56" i="1" s="1"/>
  <c r="AK55" i="1" l="1"/>
  <c r="U54" i="1" l="1"/>
  <c r="AF53" i="1" s="1"/>
  <c r="AF56" i="1" s="1"/>
  <c r="U56" i="1" s="1"/>
  <c r="L60" i="1" l="1"/>
  <c r="L61" i="1" s="1"/>
</calcChain>
</file>

<file path=xl/sharedStrings.xml><?xml version="1.0" encoding="utf-8"?>
<sst xmlns="http://schemas.openxmlformats.org/spreadsheetml/2006/main" count="244" uniqueCount="155">
  <si>
    <t>円</t>
    <rPh sb="0" eb="1">
      <t>エン</t>
    </rPh>
    <phoneticPr fontId="2"/>
  </si>
  <si>
    <t>均等割</t>
    <rPh sb="0" eb="2">
      <t>キントウ</t>
    </rPh>
    <rPh sb="2" eb="3">
      <t>ワリ</t>
    </rPh>
    <phoneticPr fontId="2"/>
  </si>
  <si>
    <t>平等割</t>
    <rPh sb="0" eb="2">
      <t>ビョウドウ</t>
    </rPh>
    <rPh sb="2" eb="3">
      <t>ワリ</t>
    </rPh>
    <phoneticPr fontId="2"/>
  </si>
  <si>
    <t>医療分</t>
    <rPh sb="0" eb="2">
      <t>イリョウ</t>
    </rPh>
    <rPh sb="2" eb="3">
      <t>ブン</t>
    </rPh>
    <phoneticPr fontId="2"/>
  </si>
  <si>
    <t>介護分</t>
    <rPh sb="0" eb="2">
      <t>カイゴ</t>
    </rPh>
    <rPh sb="2" eb="3">
      <t>ブン</t>
    </rPh>
    <phoneticPr fontId="2"/>
  </si>
  <si>
    <t>世帯員１</t>
    <rPh sb="0" eb="3">
      <t>セタイイン</t>
    </rPh>
    <phoneticPr fontId="2"/>
  </si>
  <si>
    <t>世帯員２</t>
    <rPh sb="0" eb="3">
      <t>セタイイン</t>
    </rPh>
    <phoneticPr fontId="2"/>
  </si>
  <si>
    <t>世帯員３</t>
    <rPh sb="0" eb="3">
      <t>セタイイン</t>
    </rPh>
    <phoneticPr fontId="2"/>
  </si>
  <si>
    <t>世帯員４</t>
    <rPh sb="0" eb="3">
      <t>セタイイン</t>
    </rPh>
    <phoneticPr fontId="2"/>
  </si>
  <si>
    <t>世帯員５</t>
    <rPh sb="0" eb="3">
      <t>セタイイン</t>
    </rPh>
    <phoneticPr fontId="2"/>
  </si>
  <si>
    <t>世帯員６</t>
    <rPh sb="0" eb="3">
      <t>セタイイン</t>
    </rPh>
    <phoneticPr fontId="2"/>
  </si>
  <si>
    <t>人</t>
    <rPh sb="0" eb="1">
      <t>ニン</t>
    </rPh>
    <phoneticPr fontId="2"/>
  </si>
  <si>
    <t>医　療　分</t>
    <rPh sb="0" eb="1">
      <t>イ</t>
    </rPh>
    <rPh sb="2" eb="3">
      <t>リョウ</t>
    </rPh>
    <rPh sb="4" eb="5">
      <t>ブン</t>
    </rPh>
    <phoneticPr fontId="2"/>
  </si>
  <si>
    <t>介　護　分</t>
    <rPh sb="0" eb="1">
      <t>スケ</t>
    </rPh>
    <rPh sb="2" eb="3">
      <t>マモル</t>
    </rPh>
    <rPh sb="4" eb="5">
      <t>ブン</t>
    </rPh>
    <phoneticPr fontId="2"/>
  </si>
  <si>
    <t>うち介護保険対象者数</t>
    <rPh sb="2" eb="4">
      <t>カイゴ</t>
    </rPh>
    <rPh sb="4" eb="6">
      <t>ホケン</t>
    </rPh>
    <rPh sb="6" eb="8">
      <t>タイショウ</t>
    </rPh>
    <rPh sb="8" eb="9">
      <t>モノ</t>
    </rPh>
    <rPh sb="9" eb="10">
      <t>カズ</t>
    </rPh>
    <phoneticPr fontId="2"/>
  </si>
  <si>
    <t>基礎データシート</t>
    <rPh sb="0" eb="2">
      <t>キソ</t>
    </rPh>
    <phoneticPr fontId="2"/>
  </si>
  <si>
    <t>基礎控除</t>
    <rPh sb="0" eb="2">
      <t>キソ</t>
    </rPh>
    <rPh sb="2" eb="4">
      <t>コウジョ</t>
    </rPh>
    <phoneticPr fontId="2"/>
  </si>
  <si>
    <t>所得割額</t>
    <rPh sb="0" eb="2">
      <t>ショトク</t>
    </rPh>
    <rPh sb="2" eb="3">
      <t>ワリ</t>
    </rPh>
    <rPh sb="3" eb="4">
      <t>ガク</t>
    </rPh>
    <phoneticPr fontId="2"/>
  </si>
  <si>
    <t>限度額</t>
    <rPh sb="0" eb="2">
      <t>ゲンド</t>
    </rPh>
    <rPh sb="2" eb="3">
      <t>ガク</t>
    </rPh>
    <phoneticPr fontId="2"/>
  </si>
  <si>
    <t>軽減判定</t>
    <rPh sb="0" eb="2">
      <t>ケイゲン</t>
    </rPh>
    <rPh sb="2" eb="4">
      <t>ハンテイ</t>
    </rPh>
    <phoneticPr fontId="2"/>
  </si>
  <si>
    <t>合　　計</t>
    <rPh sb="0" eb="1">
      <t>ゴウ</t>
    </rPh>
    <rPh sb="3" eb="4">
      <t>ケイ</t>
    </rPh>
    <phoneticPr fontId="2"/>
  </si>
  <si>
    <t>介護該当人数</t>
    <rPh sb="0" eb="2">
      <t>カイゴ</t>
    </rPh>
    <rPh sb="2" eb="4">
      <t>ガイトウ</t>
    </rPh>
    <rPh sb="4" eb="6">
      <t>ニンズウ</t>
    </rPh>
    <phoneticPr fontId="2"/>
  </si>
  <si>
    <t>医療分計</t>
    <rPh sb="0" eb="2">
      <t>イリョウ</t>
    </rPh>
    <rPh sb="2" eb="3">
      <t>ブン</t>
    </rPh>
    <rPh sb="3" eb="4">
      <t>ケイ</t>
    </rPh>
    <phoneticPr fontId="2"/>
  </si>
  <si>
    <t>介護分計</t>
    <rPh sb="0" eb="2">
      <t>カイゴ</t>
    </rPh>
    <rPh sb="2" eb="3">
      <t>ブン</t>
    </rPh>
    <rPh sb="3" eb="4">
      <t>ケイ</t>
    </rPh>
    <phoneticPr fontId="2"/>
  </si>
  <si>
    <t>歳</t>
    <rPh sb="0" eb="1">
      <t>サイ</t>
    </rPh>
    <phoneticPr fontId="2"/>
  </si>
  <si>
    <t>世帯員７</t>
    <rPh sb="0" eb="3">
      <t>セタイイン</t>
    </rPh>
    <phoneticPr fontId="2"/>
  </si>
  <si>
    <t>１ヶ月平均</t>
    <rPh sb="2" eb="3">
      <t>ゲツ</t>
    </rPh>
    <rPh sb="3" eb="5">
      <t>ヘイキン</t>
    </rPh>
    <phoneticPr fontId="2"/>
  </si>
  <si>
    <t>7割軽減</t>
    <rPh sb="1" eb="2">
      <t>ワリ</t>
    </rPh>
    <rPh sb="2" eb="4">
      <t>ケイゲン</t>
    </rPh>
    <phoneticPr fontId="2"/>
  </si>
  <si>
    <t>5割軽減</t>
    <rPh sb="1" eb="2">
      <t>ワリ</t>
    </rPh>
    <rPh sb="2" eb="4">
      <t>ケイゲン</t>
    </rPh>
    <phoneticPr fontId="2"/>
  </si>
  <si>
    <t>2割軽減</t>
    <rPh sb="1" eb="2">
      <t>ワリ</t>
    </rPh>
    <rPh sb="2" eb="4">
      <t>ケイゲン</t>
    </rPh>
    <phoneticPr fontId="2"/>
  </si>
  <si>
    <t>給与収入額</t>
    <rPh sb="0" eb="2">
      <t>キュウヨ</t>
    </rPh>
    <rPh sb="2" eb="4">
      <t>シュウニュウ</t>
    </rPh>
    <rPh sb="4" eb="5">
      <t>ガク</t>
    </rPh>
    <phoneticPr fontId="2"/>
  </si>
  <si>
    <t>年金収入額</t>
    <rPh sb="0" eb="2">
      <t>ネンキン</t>
    </rPh>
    <rPh sb="2" eb="4">
      <t>シュウニュウ</t>
    </rPh>
    <rPh sb="4" eb="5">
      <t>ガク</t>
    </rPh>
    <phoneticPr fontId="2"/>
  </si>
  <si>
    <t>営業その他の所得額</t>
    <rPh sb="0" eb="2">
      <t>エイギョウ</t>
    </rPh>
    <rPh sb="4" eb="5">
      <t>タ</t>
    </rPh>
    <rPh sb="6" eb="8">
      <t>ショトク</t>
    </rPh>
    <rPh sb="8" eb="9">
      <t>ガク</t>
    </rPh>
    <phoneticPr fontId="2"/>
  </si>
  <si>
    <t>加入者数</t>
    <rPh sb="0" eb="2">
      <t>カニュウ</t>
    </rPh>
    <rPh sb="2" eb="3">
      <t>シャ</t>
    </rPh>
    <rPh sb="3" eb="4">
      <t>スウ</t>
    </rPh>
    <phoneticPr fontId="2"/>
  </si>
  <si>
    <t>（４０～６４歳の加入者）</t>
    <rPh sb="6" eb="7">
      <t>サイ</t>
    </rPh>
    <rPh sb="8" eb="11">
      <t>カニュウシャ</t>
    </rPh>
    <phoneticPr fontId="2"/>
  </si>
  <si>
    <t>所得割額</t>
    <rPh sb="0" eb="1">
      <t>トコロ</t>
    </rPh>
    <rPh sb="1" eb="2">
      <t>エ</t>
    </rPh>
    <rPh sb="2" eb="3">
      <t>ワリ</t>
    </rPh>
    <rPh sb="3" eb="4">
      <t>ガク</t>
    </rPh>
    <phoneticPr fontId="2"/>
  </si>
  <si>
    <t>均等割額</t>
    <rPh sb="0" eb="1">
      <t>ヒトシ</t>
    </rPh>
    <rPh sb="1" eb="2">
      <t>トウ</t>
    </rPh>
    <rPh sb="2" eb="3">
      <t>ワリ</t>
    </rPh>
    <rPh sb="3" eb="4">
      <t>ガク</t>
    </rPh>
    <phoneticPr fontId="2"/>
  </si>
  <si>
    <t>平等割額</t>
    <rPh sb="0" eb="1">
      <t>ヒラ</t>
    </rPh>
    <rPh sb="1" eb="2">
      <t>トウ</t>
    </rPh>
    <rPh sb="2" eb="3">
      <t>ワリ</t>
    </rPh>
    <rPh sb="3" eb="4">
      <t>ガク</t>
    </rPh>
    <phoneticPr fontId="2"/>
  </si>
  <si>
    <t>端数処理前</t>
    <rPh sb="0" eb="2">
      <t>ハスウ</t>
    </rPh>
    <rPh sb="2" eb="4">
      <t>ショリ</t>
    </rPh>
    <rPh sb="4" eb="5">
      <t>マエ</t>
    </rPh>
    <phoneticPr fontId="2"/>
  </si>
  <si>
    <t>端数処理後</t>
    <rPh sb="0" eb="2">
      <t>ハスウ</t>
    </rPh>
    <rPh sb="2" eb="4">
      <t>ショリ</t>
    </rPh>
    <rPh sb="4" eb="5">
      <t>ゴ</t>
    </rPh>
    <phoneticPr fontId="2"/>
  </si>
  <si>
    <t>医療分軽減額</t>
    <rPh sb="0" eb="2">
      <t>イリョウ</t>
    </rPh>
    <rPh sb="2" eb="3">
      <t>ブン</t>
    </rPh>
    <rPh sb="3" eb="5">
      <t>ケイゲン</t>
    </rPh>
    <rPh sb="5" eb="6">
      <t>ガク</t>
    </rPh>
    <phoneticPr fontId="2"/>
  </si>
  <si>
    <t>７割軽減</t>
    <rPh sb="1" eb="2">
      <t>ワリ</t>
    </rPh>
    <rPh sb="2" eb="4">
      <t>ケイゲン</t>
    </rPh>
    <phoneticPr fontId="2"/>
  </si>
  <si>
    <t>５割軽減</t>
    <rPh sb="1" eb="2">
      <t>ワリ</t>
    </rPh>
    <rPh sb="2" eb="4">
      <t>ケイゲン</t>
    </rPh>
    <phoneticPr fontId="2"/>
  </si>
  <si>
    <t>２割軽減</t>
    <rPh sb="1" eb="2">
      <t>ワリ</t>
    </rPh>
    <rPh sb="2" eb="4">
      <t>ケイゲン</t>
    </rPh>
    <phoneticPr fontId="2"/>
  </si>
  <si>
    <t>介護分軽減額</t>
    <rPh sb="0" eb="2">
      <t>カイゴ</t>
    </rPh>
    <rPh sb="2" eb="3">
      <t>ブン</t>
    </rPh>
    <rPh sb="3" eb="5">
      <t>ケイゲン</t>
    </rPh>
    <rPh sb="5" eb="6">
      <t>ガク</t>
    </rPh>
    <phoneticPr fontId="2"/>
  </si>
  <si>
    <t>適用される軽減額</t>
    <rPh sb="0" eb="2">
      <t>テキヨウ</t>
    </rPh>
    <rPh sb="5" eb="7">
      <t>ケイゲン</t>
    </rPh>
    <rPh sb="7" eb="8">
      <t>ガク</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</si>
  <si>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</si>
  <si>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</si>
  <si>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</si>
  <si>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</si>
  <si>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加入者６</t>
    <rPh sb="0" eb="3">
      <t>カニュウシャ</t>
    </rPh>
    <phoneticPr fontId="2"/>
  </si>
  <si>
    <t>加入者７</t>
    <rPh sb="0" eb="3">
      <t>カニュウシャ</t>
    </rPh>
    <phoneticPr fontId="2"/>
  </si>
  <si>
    <t>加入者１</t>
    <rPh sb="0" eb="3">
      <t>カニュウシャ</t>
    </rPh>
    <phoneticPr fontId="2"/>
  </si>
  <si>
    <t>擬制世帯主</t>
    <rPh sb="0" eb="2">
      <t>ギセイ</t>
    </rPh>
    <rPh sb="2" eb="5">
      <t>セタイヌシ</t>
    </rPh>
    <phoneticPr fontId="2"/>
  </si>
  <si>
    <t>擬制世帯主数</t>
    <rPh sb="0" eb="2">
      <t>ギセイ</t>
    </rPh>
    <rPh sb="2" eb="5">
      <t>セタイヌシ</t>
    </rPh>
    <rPh sb="5" eb="6">
      <t>スウ</t>
    </rPh>
    <phoneticPr fontId="2"/>
  </si>
  <si>
    <t>その他の所得③</t>
    <rPh sb="2" eb="3">
      <t>タ</t>
    </rPh>
    <rPh sb="4" eb="6">
      <t>ショトク</t>
    </rPh>
    <phoneticPr fontId="2"/>
  </si>
  <si>
    <t>(社会保険等の加入者)</t>
    <rPh sb="1" eb="3">
      <t>シャカイ</t>
    </rPh>
    <rPh sb="3" eb="5">
      <t>ホケン</t>
    </rPh>
    <rPh sb="5" eb="6">
      <t>トウ</t>
    </rPh>
    <rPh sb="7" eb="9">
      <t>カニュウ</t>
    </rPh>
    <rPh sb="9" eb="10">
      <t>シャ</t>
    </rPh>
    <phoneticPr fontId="2"/>
  </si>
  <si>
    <t>軽 減 額</t>
    <rPh sb="0" eb="1">
      <t>ケイ</t>
    </rPh>
    <rPh sb="2" eb="3">
      <t>ゲン</t>
    </rPh>
    <rPh sb="4" eb="5">
      <t>ガク</t>
    </rPh>
    <phoneticPr fontId="2"/>
  </si>
  <si>
    <t>※前年(1～12月)の
   総支給額です</t>
    <rPh sb="1" eb="2">
      <t>マエ</t>
    </rPh>
    <rPh sb="2" eb="3">
      <t>ネン</t>
    </rPh>
    <rPh sb="8" eb="9">
      <t>ツキ</t>
    </rPh>
    <rPh sb="15" eb="16">
      <t>ソウ</t>
    </rPh>
    <rPh sb="16" eb="18">
      <t>シキュウ</t>
    </rPh>
    <rPh sb="18" eb="19">
      <t>ガク</t>
    </rPh>
    <phoneticPr fontId="2"/>
  </si>
  <si>
    <t>になります</t>
    <phoneticPr fontId="2"/>
  </si>
  <si>
    <t>医療分・後期分</t>
    <rPh sb="0" eb="2">
      <t>イリョウ</t>
    </rPh>
    <rPh sb="2" eb="3">
      <t>ブン</t>
    </rPh>
    <phoneticPr fontId="2"/>
  </si>
  <si>
    <t>後期分軽減額</t>
    <rPh sb="3" eb="5">
      <t>ケイゲン</t>
    </rPh>
    <rPh sb="5" eb="6">
      <t>ガク</t>
    </rPh>
    <phoneticPr fontId="2"/>
  </si>
  <si>
    <t>後期分計</t>
    <rPh sb="3" eb="4">
      <t>ケイ</t>
    </rPh>
    <phoneticPr fontId="2"/>
  </si>
  <si>
    <t>後期分</t>
    <phoneticPr fontId="2"/>
  </si>
  <si>
    <t>※前年の収入から諸経費を引いた後の金額です</t>
    <rPh sb="1" eb="2">
      <t>マエ</t>
    </rPh>
    <rPh sb="2" eb="3">
      <t>ネン</t>
    </rPh>
    <rPh sb="4" eb="6">
      <t>シュウニュウ</t>
    </rPh>
    <rPh sb="8" eb="9">
      <t>ショ</t>
    </rPh>
    <rPh sb="9" eb="10">
      <t>キョウ</t>
    </rPh>
    <rPh sb="10" eb="11">
      <t>ヒ</t>
    </rPh>
    <rPh sb="12" eb="13">
      <t>ヒ</t>
    </rPh>
    <rPh sb="15" eb="16">
      <t>ノチ</t>
    </rPh>
    <rPh sb="17" eb="19">
      <t>キンガク</t>
    </rPh>
    <phoneticPr fontId="2"/>
  </si>
  <si>
    <t>年　　間</t>
    <rPh sb="0" eb="1">
      <t>ネン</t>
    </rPh>
    <rPh sb="3" eb="4">
      <t>アイダ</t>
    </rPh>
    <phoneticPr fontId="2"/>
  </si>
  <si>
    <t>※実際の税額は､所得申告額（給与・年金支払報告書）等に基づいて計算されます。</t>
    <rPh sb="8" eb="10">
      <t>ショトク</t>
    </rPh>
    <rPh sb="14" eb="16">
      <t>キュウヨ</t>
    </rPh>
    <rPh sb="17" eb="19">
      <t>ネンキン</t>
    </rPh>
    <rPh sb="19" eb="21">
      <t>シハライ</t>
    </rPh>
    <rPh sb="21" eb="24">
      <t>ホウコクショ</t>
    </rPh>
    <rPh sb="25" eb="26">
      <t>トウ</t>
    </rPh>
    <phoneticPr fontId="2"/>
  </si>
  <si>
    <t>国民健康保険税は世帯の加入者分を合算して、世帯主に課税されます。</t>
    <rPh sb="0" eb="2">
      <t>コクミン</t>
    </rPh>
    <rPh sb="2" eb="4">
      <t>ケンコウ</t>
    </rPh>
    <rPh sb="4" eb="6">
      <t>ホケン</t>
    </rPh>
    <rPh sb="6" eb="7">
      <t>ゼイ</t>
    </rPh>
    <rPh sb="8" eb="10">
      <t>セタイ</t>
    </rPh>
    <rPh sb="11" eb="14">
      <t>カニュウシャ</t>
    </rPh>
    <rPh sb="14" eb="15">
      <t>ブン</t>
    </rPh>
    <rPh sb="16" eb="18">
      <t>ガッサン</t>
    </rPh>
    <rPh sb="21" eb="24">
      <t>セタイヌシ</t>
    </rPh>
    <rPh sb="25" eb="27">
      <t>カゼイ</t>
    </rPh>
    <phoneticPr fontId="2"/>
  </si>
  <si>
    <t>国民健康保険加入者</t>
    <rPh sb="0" eb="2">
      <t>コクミン</t>
    </rPh>
    <rPh sb="2" eb="4">
      <t>ケンコウ</t>
    </rPh>
    <rPh sb="4" eb="6">
      <t>ホケン</t>
    </rPh>
    <rPh sb="6" eb="8">
      <t>カニュウ</t>
    </rPh>
    <rPh sb="8" eb="9">
      <t>シャ</t>
    </rPh>
    <phoneticPr fontId="2"/>
  </si>
  <si>
    <t>給与所得者等該当</t>
    <rPh sb="0" eb="2">
      <t>キュウヨ</t>
    </rPh>
    <rPh sb="2" eb="4">
      <t>ショトク</t>
    </rPh>
    <rPh sb="4" eb="5">
      <t>シャ</t>
    </rPh>
    <rPh sb="5" eb="6">
      <t>トウ</t>
    </rPh>
    <rPh sb="6" eb="8">
      <t>ガイトウ</t>
    </rPh>
    <phoneticPr fontId="2"/>
  </si>
  <si>
    <t>基礎控除額</t>
    <rPh sb="0" eb="2">
      <t>キソ</t>
    </rPh>
    <rPh sb="2" eb="4">
      <t>コウジョ</t>
    </rPh>
    <rPh sb="4" eb="5">
      <t>ガク</t>
    </rPh>
    <phoneticPr fontId="2"/>
  </si>
  <si>
    <t>基礎控除後判定</t>
    <rPh sb="0" eb="2">
      <t>キソ</t>
    </rPh>
    <rPh sb="2" eb="4">
      <t>コウジョ</t>
    </rPh>
    <rPh sb="4" eb="5">
      <t>ゴ</t>
    </rPh>
    <rPh sb="5" eb="7">
      <t>ハンテイ</t>
    </rPh>
    <phoneticPr fontId="2"/>
  </si>
  <si>
    <t>給与所得判定
調整控除</t>
    <rPh sb="0" eb="2">
      <t>キュウヨ</t>
    </rPh>
    <rPh sb="2" eb="4">
      <t>ショトク</t>
    </rPh>
    <rPh sb="4" eb="6">
      <t>ハンテイ</t>
    </rPh>
    <rPh sb="7" eb="9">
      <t>チョウセイ</t>
    </rPh>
    <rPh sb="9" eb="11">
      <t>コウジョ</t>
    </rPh>
    <phoneticPr fontId="2"/>
  </si>
  <si>
    <t>この計算シートではあくまでも概算の見込額になります。実際の税額と異なる場合があります。</t>
    <rPh sb="2" eb="4">
      <t>ケイサン</t>
    </rPh>
    <rPh sb="14" eb="16">
      <t>ガイサン</t>
    </rPh>
    <rPh sb="17" eb="19">
      <t>ミコミ</t>
    </rPh>
    <rPh sb="19" eb="20">
      <t>ガク</t>
    </rPh>
    <rPh sb="26" eb="28">
      <t>ジッサイ</t>
    </rPh>
    <rPh sb="29" eb="31">
      <t>ゼイガク</t>
    </rPh>
    <rPh sb="32" eb="33">
      <t>コト</t>
    </rPh>
    <rPh sb="35" eb="37">
      <t>バアイ</t>
    </rPh>
    <phoneticPr fontId="2"/>
  </si>
  <si>
    <t>調整控除計算用</t>
    <rPh sb="0" eb="2">
      <t>チョウセイ</t>
    </rPh>
    <rPh sb="2" eb="4">
      <t>コウジョ</t>
    </rPh>
    <rPh sb="4" eb="7">
      <t>ケイサンヨウ</t>
    </rPh>
    <phoneticPr fontId="2"/>
  </si>
  <si>
    <t>年金所得判定</t>
    <rPh sb="0" eb="2">
      <t>ネンキン</t>
    </rPh>
    <rPh sb="2" eb="4">
      <t>ショトク</t>
    </rPh>
    <rPh sb="4" eb="6">
      <t>ハンテイ</t>
    </rPh>
    <phoneticPr fontId="2"/>
  </si>
  <si>
    <t>年金所得②
軽減用年金所得</t>
    <rPh sb="0" eb="2">
      <t>ネンキン</t>
    </rPh>
    <rPh sb="2" eb="4">
      <t>ショトク</t>
    </rPh>
    <rPh sb="6" eb="8">
      <t>ケイゲン</t>
    </rPh>
    <rPh sb="8" eb="9">
      <t>ヨウ</t>
    </rPh>
    <rPh sb="9" eb="11">
      <t>ネンキン</t>
    </rPh>
    <rPh sb="11" eb="13">
      <t>ショトク</t>
    </rPh>
    <phoneticPr fontId="2"/>
  </si>
  <si>
    <t>介護分</t>
    <phoneticPr fontId="2"/>
  </si>
  <si>
    <t>所得計(①+②+③)
軽減判定用所得計</t>
    <phoneticPr fontId="2"/>
  </si>
  <si>
    <t>所得計(①+②+③)</t>
    <phoneticPr fontId="2"/>
  </si>
  <si>
    <t>未就学児軽減</t>
    <rPh sb="0" eb="4">
      <t>ミシュウガクジ</t>
    </rPh>
    <rPh sb="4" eb="6">
      <t>ケイゲン</t>
    </rPh>
    <phoneticPr fontId="2"/>
  </si>
  <si>
    <t>７割軽減</t>
    <rPh sb="1" eb="2">
      <t>ワリ</t>
    </rPh>
    <rPh sb="2" eb="4">
      <t>ケイゲン</t>
    </rPh>
    <phoneticPr fontId="2"/>
  </si>
  <si>
    <t>５割軽減</t>
    <rPh sb="1" eb="4">
      <t>ワリケイゲン</t>
    </rPh>
    <phoneticPr fontId="2"/>
  </si>
  <si>
    <t>２割軽減</t>
    <rPh sb="1" eb="4">
      <t>ワリケイゲン</t>
    </rPh>
    <phoneticPr fontId="2"/>
  </si>
  <si>
    <t>医療分</t>
    <rPh sb="0" eb="3">
      <t>イリョウブン</t>
    </rPh>
    <phoneticPr fontId="2"/>
  </si>
  <si>
    <t>後期分</t>
    <rPh sb="0" eb="2">
      <t>コウキ</t>
    </rPh>
    <rPh sb="2" eb="3">
      <t>ブン</t>
    </rPh>
    <phoneticPr fontId="2"/>
  </si>
  <si>
    <t>軽減なし</t>
    <rPh sb="0" eb="2">
      <t>ケイゲン</t>
    </rPh>
    <phoneticPr fontId="2"/>
  </si>
  <si>
    <t>適用される軽減額</t>
    <rPh sb="0" eb="2">
      <t>テキヨウ</t>
    </rPh>
    <rPh sb="5" eb="8">
      <t>ケイゲンガク</t>
    </rPh>
    <phoneticPr fontId="2"/>
  </si>
  <si>
    <t>世帯の課税所得額</t>
    <phoneticPr fontId="2"/>
  </si>
  <si>
    <t>未就学児</t>
    <rPh sb="0" eb="4">
      <t>ミシュウガクジ</t>
    </rPh>
    <phoneticPr fontId="2"/>
  </si>
  <si>
    <t>未就学児人数</t>
    <rPh sb="0" eb="4">
      <t>ミシュウガクジ</t>
    </rPh>
    <rPh sb="4" eb="6">
      <t>ニンズウ</t>
    </rPh>
    <phoneticPr fontId="2"/>
  </si>
  <si>
    <t>世帯員１</t>
    <rPh sb="0" eb="3">
      <t>セタイイン</t>
    </rPh>
    <phoneticPr fontId="2"/>
  </si>
  <si>
    <t>世帯員２</t>
    <rPh sb="0" eb="3">
      <t>セタイイン</t>
    </rPh>
    <phoneticPr fontId="2"/>
  </si>
  <si>
    <t>世帯員３</t>
    <rPh sb="0" eb="3">
      <t>セタイイン</t>
    </rPh>
    <phoneticPr fontId="2"/>
  </si>
  <si>
    <t>世帯員４</t>
    <rPh sb="0" eb="3">
      <t>セタイイン</t>
    </rPh>
    <phoneticPr fontId="2"/>
  </si>
  <si>
    <t>世帯員５</t>
    <rPh sb="0" eb="3">
      <t>セタイイン</t>
    </rPh>
    <phoneticPr fontId="2"/>
  </si>
  <si>
    <t>世帯員６</t>
    <rPh sb="0" eb="3">
      <t>セタイイン</t>
    </rPh>
    <phoneticPr fontId="2"/>
  </si>
  <si>
    <t>世帯員７</t>
    <rPh sb="0" eb="3">
      <t>セタイイン</t>
    </rPh>
    <phoneticPr fontId="2"/>
  </si>
  <si>
    <t>基礎控除後判定</t>
    <rPh sb="0" eb="5">
      <t>キソコウジョゴ</t>
    </rPh>
    <rPh sb="5" eb="7">
      <t>ハンテイ</t>
    </rPh>
    <phoneticPr fontId="2"/>
  </si>
  <si>
    <t>合　計</t>
    <rPh sb="0" eb="1">
      <t>ゴウ</t>
    </rPh>
    <rPh sb="2" eb="3">
      <t>ケイ</t>
    </rPh>
    <phoneticPr fontId="2"/>
  </si>
  <si>
    <t xml:space="preserve">年齢 </t>
    <rPh sb="0" eb="2">
      <t>ネンレイ</t>
    </rPh>
    <phoneticPr fontId="2"/>
  </si>
  <si>
    <t>計</t>
    <phoneticPr fontId="2"/>
  </si>
  <si>
    <t>円</t>
    <rPh sb="0" eb="1">
      <t>エン</t>
    </rPh>
    <phoneticPr fontId="2"/>
  </si>
  <si>
    <t>未就学児軽減</t>
    <rPh sb="0" eb="4">
      <t>ミシュウガクジ</t>
    </rPh>
    <rPh sb="4" eb="6">
      <t>ケイゲン</t>
    </rPh>
    <phoneticPr fontId="2"/>
  </si>
  <si>
    <t>うち未就学児人数</t>
    <rPh sb="2" eb="6">
      <t>ミシュウガクジ</t>
    </rPh>
    <rPh sb="6" eb="8">
      <t>ニンズウ</t>
    </rPh>
    <phoneticPr fontId="2"/>
  </si>
  <si>
    <t>7割軽減</t>
    <rPh sb="1" eb="2">
      <t>ワリ</t>
    </rPh>
    <rPh sb="2" eb="4">
      <t>ケイゲン</t>
    </rPh>
    <phoneticPr fontId="2"/>
  </si>
  <si>
    <t>5割軽減</t>
    <rPh sb="1" eb="4">
      <t>ワリケイゲン</t>
    </rPh>
    <phoneticPr fontId="2"/>
  </si>
  <si>
    <t>軽減なし</t>
    <rPh sb="0" eb="2">
      <t>ケイゲン</t>
    </rPh>
    <phoneticPr fontId="2"/>
  </si>
  <si>
    <t>医療分</t>
    <rPh sb="0" eb="3">
      <t>イリョウブン</t>
    </rPh>
    <phoneticPr fontId="2"/>
  </si>
  <si>
    <t>後期分</t>
    <rPh sb="0" eb="2">
      <t>コウキ</t>
    </rPh>
    <rPh sb="2" eb="3">
      <t>ブン</t>
    </rPh>
    <phoneticPr fontId="2"/>
  </si>
  <si>
    <t>未就学児均等割</t>
    <rPh sb="0" eb="4">
      <t>ミシュウガクジ</t>
    </rPh>
    <rPh sb="4" eb="7">
      <t>キントウワ</t>
    </rPh>
    <phoneticPr fontId="2"/>
  </si>
  <si>
    <t>（年度内に0～6歳の加入者）</t>
    <phoneticPr fontId="2"/>
  </si>
  <si>
    <t>鹿沼市　国民健康保険税簡易試算シート</t>
    <rPh sb="0" eb="3">
      <t>カヌマシ</t>
    </rPh>
    <rPh sb="4" eb="6">
      <t>コクミン</t>
    </rPh>
    <rPh sb="6" eb="8">
      <t>ケンコウ</t>
    </rPh>
    <rPh sb="8" eb="11">
      <t>ホケンゼイ</t>
    </rPh>
    <rPh sb="11" eb="13">
      <t>カンイ</t>
    </rPh>
    <rPh sb="13" eb="15">
      <t>シサン</t>
    </rPh>
    <phoneticPr fontId="2"/>
  </si>
  <si>
    <r>
      <t>以下の項目に</t>
    </r>
    <r>
      <rPr>
        <b/>
        <sz val="9"/>
        <rFont val="UD デジタル 教科書体 NK-R"/>
        <family val="1"/>
        <charset val="128"/>
      </rPr>
      <t>半角数字</t>
    </r>
    <r>
      <rPr>
        <sz val="9"/>
        <rFont val="UD デジタル 教科書体 NK-R"/>
        <family val="1"/>
        <charset val="128"/>
      </rPr>
      <t>で入力してください。</t>
    </r>
    <rPh sb="0" eb="2">
      <t>イカ</t>
    </rPh>
    <rPh sb="3" eb="4">
      <t>コウ</t>
    </rPh>
    <rPh sb="4" eb="5">
      <t>モク</t>
    </rPh>
    <rPh sb="6" eb="8">
      <t>ハンカク</t>
    </rPh>
    <rPh sb="8" eb="10">
      <t>スウジ</t>
    </rPh>
    <rPh sb="11" eb="13">
      <t>ニュウリョク</t>
    </rPh>
    <phoneticPr fontId="2"/>
  </si>
  <si>
    <t>〇</t>
    <phoneticPr fontId="2"/>
  </si>
  <si>
    <r>
      <rPr>
        <sz val="11"/>
        <rFont val="UD デジタル 教科書体 NK-R"/>
        <family val="1"/>
        <charset val="128"/>
      </rPr>
      <t>このシートでは、</t>
    </r>
    <r>
      <rPr>
        <b/>
        <sz val="11"/>
        <rFont val="UD デジタル 教科書体 NK-R"/>
        <family val="1"/>
        <charset val="128"/>
      </rPr>
      <t>加入者全員が１年間加入する</t>
    </r>
    <r>
      <rPr>
        <sz val="11"/>
        <rFont val="UD デジタル 教科書体 NK-R"/>
        <family val="1"/>
        <charset val="128"/>
      </rPr>
      <t>ものとして計算されます。</t>
    </r>
    <rPh sb="8" eb="11">
      <t>カニュウシャ</t>
    </rPh>
    <rPh sb="11" eb="13">
      <t>ゼンイン</t>
    </rPh>
    <rPh sb="15" eb="17">
      <t>ネンカン</t>
    </rPh>
    <rPh sb="17" eb="19">
      <t>カニュウ</t>
    </rPh>
    <rPh sb="26" eb="28">
      <t>ケイサン</t>
    </rPh>
    <phoneticPr fontId="2"/>
  </si>
  <si>
    <t>給与収入金額（源泉徴収票の支払金額）が2か所以上になる方は合計して入力してください。</t>
    <rPh sb="0" eb="2">
      <t>キュウヨ</t>
    </rPh>
    <rPh sb="2" eb="4">
      <t>シュウニュウ</t>
    </rPh>
    <rPh sb="4" eb="6">
      <t>キンガク</t>
    </rPh>
    <rPh sb="7" eb="9">
      <t>ゲンセン</t>
    </rPh>
    <rPh sb="9" eb="12">
      <t>チョウシュウヒョウ</t>
    </rPh>
    <rPh sb="13" eb="15">
      <t>シハライ</t>
    </rPh>
    <rPh sb="15" eb="17">
      <t>キンガク</t>
    </rPh>
    <rPh sb="21" eb="22">
      <t>ショ</t>
    </rPh>
    <rPh sb="22" eb="24">
      <t>イジョウ</t>
    </rPh>
    <rPh sb="27" eb="28">
      <t>カタ</t>
    </rPh>
    <rPh sb="29" eb="31">
      <t>ゴウケイ</t>
    </rPh>
    <rPh sb="33" eb="35">
      <t>ニュウリョク</t>
    </rPh>
    <phoneticPr fontId="2"/>
  </si>
  <si>
    <t>年金収入金額（更正年金・国民年金・共済年金・企業年金の源泉徴収票の支払金額の合計）を入力してください。</t>
    <rPh sb="0" eb="2">
      <t>ネンキン</t>
    </rPh>
    <rPh sb="2" eb="4">
      <t>シュウニュウ</t>
    </rPh>
    <rPh sb="4" eb="6">
      <t>キンガク</t>
    </rPh>
    <rPh sb="7" eb="9">
      <t>コウセイ</t>
    </rPh>
    <rPh sb="9" eb="11">
      <t>ネンキン</t>
    </rPh>
    <rPh sb="12" eb="14">
      <t>コクミン</t>
    </rPh>
    <rPh sb="14" eb="16">
      <t>ネンキン</t>
    </rPh>
    <rPh sb="17" eb="19">
      <t>キョウサイ</t>
    </rPh>
    <rPh sb="19" eb="21">
      <t>ネンキン</t>
    </rPh>
    <rPh sb="22" eb="24">
      <t>キギョウ</t>
    </rPh>
    <rPh sb="24" eb="26">
      <t>ネンキン</t>
    </rPh>
    <rPh sb="27" eb="29">
      <t>ゲンセン</t>
    </rPh>
    <rPh sb="29" eb="32">
      <t>チョウシュウヒョウ</t>
    </rPh>
    <rPh sb="33" eb="35">
      <t>シハライ</t>
    </rPh>
    <rPh sb="35" eb="37">
      <t>キンガク</t>
    </rPh>
    <rPh sb="38" eb="40">
      <t>ゴウケイ</t>
    </rPh>
    <rPh sb="42" eb="44">
      <t>ニュウリョク</t>
    </rPh>
    <phoneticPr fontId="2"/>
  </si>
  <si>
    <t>ただし、障害年金・遺族年金は除きます。</t>
    <rPh sb="4" eb="8">
      <t>ショウガイネンキン</t>
    </rPh>
    <rPh sb="9" eb="11">
      <t>イゾク</t>
    </rPh>
    <rPh sb="11" eb="13">
      <t>ネンキン</t>
    </rPh>
    <rPh sb="14" eb="15">
      <t>ノゾ</t>
    </rPh>
    <phoneticPr fontId="2"/>
  </si>
  <si>
    <t>営業や農業等の所得がある場合は合算して「営業その他の所得額」の欄に入力してください。</t>
    <phoneticPr fontId="2"/>
  </si>
  <si>
    <t>入力する収入・所得は試算する年度の前年のものとなります。</t>
    <rPh sb="0" eb="2">
      <t>ニュウリョク</t>
    </rPh>
    <rPh sb="4" eb="6">
      <t>シュウニュウ</t>
    </rPh>
    <rPh sb="7" eb="9">
      <t>ショトク</t>
    </rPh>
    <rPh sb="10" eb="12">
      <t>シサン</t>
    </rPh>
    <rPh sb="14" eb="16">
      <t>ネンド</t>
    </rPh>
    <rPh sb="17" eb="19">
      <t>ゼンネン</t>
    </rPh>
    <phoneticPr fontId="2"/>
  </si>
  <si>
    <t>年齢は全員分必ず入力してください。収入が無い場合でも必要です。</t>
    <rPh sb="0" eb="2">
      <t>ネンレイ</t>
    </rPh>
    <rPh sb="3" eb="5">
      <t>ゼンイン</t>
    </rPh>
    <rPh sb="5" eb="6">
      <t>ブン</t>
    </rPh>
    <rPh sb="6" eb="7">
      <t>カナラ</t>
    </rPh>
    <rPh sb="8" eb="10">
      <t>ニュウリョク</t>
    </rPh>
    <rPh sb="17" eb="19">
      <t>シュウニュウ</t>
    </rPh>
    <rPh sb="20" eb="21">
      <t>ナ</t>
    </rPh>
    <rPh sb="22" eb="24">
      <t>バアイ</t>
    </rPh>
    <rPh sb="26" eb="28">
      <t>ヒツヨウ</t>
    </rPh>
    <phoneticPr fontId="2"/>
  </si>
  <si>
    <t>世帯主や加入者等の状況によってはこのシートでは正確な計算ができかねます。</t>
    <rPh sb="0" eb="3">
      <t>セタイヌシ</t>
    </rPh>
    <rPh sb="4" eb="7">
      <t>カニュウシャ</t>
    </rPh>
    <rPh sb="7" eb="8">
      <t>トウ</t>
    </rPh>
    <rPh sb="9" eb="11">
      <t>ジョウキョウ</t>
    </rPh>
    <rPh sb="23" eb="25">
      <t>セイカク</t>
    </rPh>
    <rPh sb="26" eb="28">
      <t>ケイサン</t>
    </rPh>
    <phoneticPr fontId="2"/>
  </si>
  <si>
    <t>枠外の「簡易試算シートの注意事項」をご確認ください。</t>
    <rPh sb="0" eb="2">
      <t>ワクガイ</t>
    </rPh>
    <rPh sb="4" eb="6">
      <t>カンイ</t>
    </rPh>
    <rPh sb="6" eb="8">
      <t>シサン</t>
    </rPh>
    <phoneticPr fontId="2"/>
  </si>
  <si>
    <t>※入力に関する注意事項※　
次をお読みになり、下表へご入力ください。</t>
    <rPh sb="14" eb="15">
      <t>ツギ</t>
    </rPh>
    <rPh sb="17" eb="18">
      <t>ヨ</t>
    </rPh>
    <rPh sb="23" eb="25">
      <t>カヒョウ</t>
    </rPh>
    <rPh sb="27" eb="29">
      <t>ニュウリョク</t>
    </rPh>
    <phoneticPr fontId="2"/>
  </si>
  <si>
    <r>
      <t>※</t>
    </r>
    <r>
      <rPr>
        <b/>
        <sz val="11"/>
        <color theme="9" tint="-0.249977111117893"/>
        <rFont val="UD デジタル 教科書体 NK-R"/>
        <family val="1"/>
        <charset val="128"/>
      </rPr>
      <t>世帯主はどちらかに
　必ず入力してください</t>
    </r>
    <r>
      <rPr>
        <b/>
        <sz val="10"/>
        <color theme="9" tint="-0.499984740745262"/>
        <rFont val="UD デジタル 教科書体 NK-R"/>
        <family val="1"/>
        <charset val="128"/>
      </rPr>
      <t xml:space="preserve">
　</t>
    </r>
    <r>
      <rPr>
        <sz val="9"/>
        <rFont val="UD デジタル 教科書体 NK-R"/>
        <family val="1"/>
        <charset val="128"/>
      </rPr>
      <t>(軽減判定に必要です)</t>
    </r>
    <rPh sb="1" eb="4">
      <t>セタイヌシ</t>
    </rPh>
    <rPh sb="12" eb="13">
      <t>カナラ</t>
    </rPh>
    <rPh sb="14" eb="16">
      <t>ニュウリョク</t>
    </rPh>
    <rPh sb="25" eb="27">
      <t>ケイゲン</t>
    </rPh>
    <rPh sb="27" eb="29">
      <t>ハンテイ</t>
    </rPh>
    <rPh sb="30" eb="32">
      <t>ヒツヨウ</t>
    </rPh>
    <phoneticPr fontId="2"/>
  </si>
  <si>
    <r>
      <t>国保に</t>
    </r>
    <r>
      <rPr>
        <b/>
        <sz val="11"/>
        <color theme="9" tint="-0.249977111117893"/>
        <rFont val="UD デジタル 教科書体 NK-R"/>
        <family val="1"/>
        <charset val="128"/>
      </rPr>
      <t>加入する</t>
    </r>
    <r>
      <rPr>
        <b/>
        <sz val="11"/>
        <rFont val="UD デジタル 教科書体 NK-R"/>
        <family val="1"/>
        <charset val="128"/>
      </rPr>
      <t>世帯主</t>
    </r>
    <rPh sb="0" eb="2">
      <t>コクホ</t>
    </rPh>
    <rPh sb="3" eb="5">
      <t>カニュウ</t>
    </rPh>
    <rPh sb="7" eb="10">
      <t>セタイヌシ</t>
    </rPh>
    <phoneticPr fontId="2"/>
  </si>
  <si>
    <r>
      <t>国保に</t>
    </r>
    <r>
      <rPr>
        <b/>
        <sz val="11"/>
        <color theme="9" tint="-0.249977111117893"/>
        <rFont val="UD デジタル 教科書体 NK-R"/>
        <family val="1"/>
        <charset val="128"/>
      </rPr>
      <t>加入しない</t>
    </r>
    <r>
      <rPr>
        <b/>
        <sz val="11"/>
        <rFont val="UD デジタル 教科書体 NK-R"/>
        <family val="1"/>
        <charset val="128"/>
      </rPr>
      <t>世帯主</t>
    </r>
    <rPh sb="0" eb="2">
      <t>コクホ</t>
    </rPh>
    <rPh sb="3" eb="5">
      <t>カニュウ</t>
    </rPh>
    <rPh sb="8" eb="11">
      <t>セタイヌシ</t>
    </rPh>
    <phoneticPr fontId="2"/>
  </si>
  <si>
    <t>後期高齢者支援金分</t>
    <rPh sb="0" eb="2">
      <t>コウキ</t>
    </rPh>
    <rPh sb="2" eb="5">
      <t>コウレイシャ</t>
    </rPh>
    <rPh sb="5" eb="6">
      <t>シ</t>
    </rPh>
    <rPh sb="6" eb="7">
      <t>エン</t>
    </rPh>
    <rPh sb="7" eb="8">
      <t>キン</t>
    </rPh>
    <rPh sb="8" eb="9">
      <t>ブン</t>
    </rPh>
    <phoneticPr fontId="2"/>
  </si>
  <si>
    <t>子子分</t>
    <rPh sb="0" eb="1">
      <t>コ</t>
    </rPh>
    <rPh sb="1" eb="3">
      <t>コブン</t>
    </rPh>
    <phoneticPr fontId="2"/>
  </si>
  <si>
    <t>子子分</t>
    <rPh sb="0" eb="1">
      <t>コ</t>
    </rPh>
    <rPh sb="1" eb="2">
      <t>コ</t>
    </rPh>
    <rPh sb="2" eb="3">
      <t>ブン</t>
    </rPh>
    <phoneticPr fontId="2"/>
  </si>
  <si>
    <t>子子分</t>
    <rPh sb="0" eb="1">
      <t>コ</t>
    </rPh>
    <rPh sb="1" eb="2">
      <t>コ</t>
    </rPh>
    <rPh sb="2" eb="3">
      <t>ブン</t>
    </rPh>
    <phoneticPr fontId="2"/>
  </si>
  <si>
    <t>例：令和８年度分（令和８年4月～令和９年3月加入分）の国保税は令和７年中（令和７年1月～12月）の収入・所得です。</t>
    <rPh sb="0" eb="1">
      <t>レイ</t>
    </rPh>
    <rPh sb="2" eb="4">
      <t>レ</t>
    </rPh>
    <rPh sb="5" eb="7">
      <t>ネンド</t>
    </rPh>
    <rPh sb="7" eb="8">
      <t>ブン</t>
    </rPh>
    <rPh sb="9" eb="11">
      <t>レ</t>
    </rPh>
    <rPh sb="12" eb="13">
      <t>ネン</t>
    </rPh>
    <rPh sb="14" eb="15">
      <t>ガツ</t>
    </rPh>
    <rPh sb="16" eb="18">
      <t>レ</t>
    </rPh>
    <rPh sb="19" eb="20">
      <t>ネン</t>
    </rPh>
    <rPh sb="21" eb="22">
      <t>ガツ</t>
    </rPh>
    <rPh sb="22" eb="24">
      <t>カニュウ</t>
    </rPh>
    <rPh sb="24" eb="25">
      <t>ブン</t>
    </rPh>
    <rPh sb="27" eb="30">
      <t>コクホゼイ</t>
    </rPh>
    <rPh sb="31" eb="33">
      <t>レイワ</t>
    </rPh>
    <rPh sb="34" eb="36">
      <t>ネンチュウ</t>
    </rPh>
    <rPh sb="37" eb="39">
      <t>レイワ</t>
    </rPh>
    <rPh sb="40" eb="41">
      <t>ネン</t>
    </rPh>
    <rPh sb="42" eb="43">
      <t>ガツ</t>
    </rPh>
    <rPh sb="46" eb="47">
      <t>ガツ</t>
    </rPh>
    <rPh sb="49" eb="51">
      <t>シュウニュウ</t>
    </rPh>
    <rPh sb="52" eb="54">
      <t>ショトク</t>
    </rPh>
    <phoneticPr fontId="2"/>
  </si>
  <si>
    <t>国民健康保険に加入した場合の令和８年度の年税額（概算）が計算できます。</t>
    <rPh sb="0" eb="2">
      <t>コクミン</t>
    </rPh>
    <rPh sb="2" eb="4">
      <t>ケンコウ</t>
    </rPh>
    <rPh sb="4" eb="6">
      <t>ホケン</t>
    </rPh>
    <rPh sb="7" eb="9">
      <t>カニュウ</t>
    </rPh>
    <rPh sb="11" eb="13">
      <t>バアイ</t>
    </rPh>
    <rPh sb="14" eb="15">
      <t>レイ</t>
    </rPh>
    <rPh sb="15" eb="16">
      <t>カズ</t>
    </rPh>
    <rPh sb="17" eb="19">
      <t>ネンド</t>
    </rPh>
    <rPh sb="19" eb="21">
      <t>ヘイネンド</t>
    </rPh>
    <rPh sb="20" eb="21">
      <t>ネン</t>
    </rPh>
    <rPh sb="21" eb="23">
      <t>ゼイガク</t>
    </rPh>
    <rPh sb="24" eb="26">
      <t>ガイサン</t>
    </rPh>
    <rPh sb="28" eb="30">
      <t>ケイサン</t>
    </rPh>
    <phoneticPr fontId="2"/>
  </si>
  <si>
    <t>うち18歳以上対象者数</t>
    <rPh sb="4" eb="5">
      <t>サイ</t>
    </rPh>
    <rPh sb="5" eb="7">
      <t>イジョウ</t>
    </rPh>
    <rPh sb="7" eb="10">
      <t>タイショウシャ</t>
    </rPh>
    <rPh sb="10" eb="11">
      <t>スウ</t>
    </rPh>
    <phoneticPr fontId="2"/>
  </si>
  <si>
    <t>（18歳になる年度は除く）</t>
    <rPh sb="3" eb="4">
      <t>サイ</t>
    </rPh>
    <rPh sb="7" eb="9">
      <t>ネンド</t>
    </rPh>
    <rPh sb="10" eb="11">
      <t>ノゾ</t>
    </rPh>
    <phoneticPr fontId="2"/>
  </si>
  <si>
    <t>子ども子育て支援金分</t>
    <rPh sb="0" eb="1">
      <t>コ</t>
    </rPh>
    <rPh sb="3" eb="5">
      <t>コソダ</t>
    </rPh>
    <rPh sb="6" eb="10">
      <t>シエンキンブン</t>
    </rPh>
    <phoneticPr fontId="2"/>
  </si>
  <si>
    <t>介護分</t>
    <rPh sb="0" eb="2">
      <t>カイゴ</t>
    </rPh>
    <rPh sb="2" eb="3">
      <t>ブン</t>
    </rPh>
    <phoneticPr fontId="2"/>
  </si>
  <si>
    <t>令和8年度税制改正対応版</t>
    <rPh sb="0" eb="2">
      <t>レイワ</t>
    </rPh>
    <rPh sb="3" eb="5">
      <t>ネンド</t>
    </rPh>
    <rPh sb="5" eb="7">
      <t>ゼイセイ</t>
    </rPh>
    <rPh sb="7" eb="9">
      <t>カイセイ</t>
    </rPh>
    <rPh sb="9" eb="11">
      <t>タイオウ</t>
    </rPh>
    <rPh sb="11" eb="12">
      <t>バン</t>
    </rPh>
    <phoneticPr fontId="2"/>
  </si>
  <si>
    <t>介護分</t>
    <rPh sb="0" eb="3">
      <t>カイゴブン</t>
    </rPh>
    <phoneticPr fontId="2"/>
  </si>
  <si>
    <t>子子分計</t>
    <rPh sb="0" eb="1">
      <t>コ</t>
    </rPh>
    <rPh sb="1" eb="2">
      <t>コ</t>
    </rPh>
    <rPh sb="2" eb="3">
      <t>ブン</t>
    </rPh>
    <rPh sb="3" eb="4">
      <t>ケイ</t>
    </rPh>
    <phoneticPr fontId="2"/>
  </si>
  <si>
    <t>18歳以上該当人数</t>
    <rPh sb="2" eb="5">
      <t>サイイジョウ</t>
    </rPh>
    <rPh sb="5" eb="7">
      <t>ガイトウ</t>
    </rPh>
    <rPh sb="7" eb="9">
      <t>ニンズウ</t>
    </rPh>
    <phoneticPr fontId="2"/>
  </si>
  <si>
    <t>「加入者７」の下の行「国保に加入しない世帯主」に入力してください。</t>
  </si>
  <si>
    <t>世帯主の欄は、加入の有無にかかわらず。入力してください。世帯主が国保に加入されていない場合は</t>
    <rPh sb="0" eb="3">
      <t>セタイヌシ</t>
    </rPh>
    <rPh sb="4" eb="5">
      <t>ラン</t>
    </rPh>
    <rPh sb="7" eb="9">
      <t>カニュウ</t>
    </rPh>
    <rPh sb="10" eb="12">
      <t>ウム</t>
    </rPh>
    <rPh sb="19" eb="21">
      <t>ニュウリョク</t>
    </rPh>
    <rPh sb="28" eb="31">
      <t>セタイヌシ</t>
    </rPh>
    <rPh sb="32" eb="34">
      <t>コクホ</t>
    </rPh>
    <rPh sb="35" eb="37">
      <t>カニュウ</t>
    </rPh>
    <rPh sb="43" eb="45">
      <t>バアイ</t>
    </rPh>
    <phoneticPr fontId="2"/>
  </si>
  <si>
    <t>※成年・未就学児・18歳をまたぐ年度の人で入力条件が異なりますのでご注意ください。</t>
    <rPh sb="4" eb="8">
      <t>ミシュウガクジ</t>
    </rPh>
    <rPh sb="11" eb="12">
      <t>サイ</t>
    </rPh>
    <rPh sb="16" eb="18">
      <t>ネンド</t>
    </rPh>
    <rPh sb="19" eb="20">
      <t>ヒト</t>
    </rPh>
    <rPh sb="21" eb="23">
      <t>ニュウリョク</t>
    </rPh>
    <rPh sb="26" eb="27">
      <t>コト</t>
    </rPh>
    <phoneticPr fontId="2"/>
  </si>
  <si>
    <t>軽減判定②</t>
    <rPh sb="0" eb="2">
      <t>ケイゲン</t>
    </rPh>
    <rPh sb="2" eb="4">
      <t>ハンテイ</t>
    </rPh>
    <phoneticPr fontId="2"/>
  </si>
  <si>
    <t>軽減判定③</t>
    <rPh sb="0" eb="2">
      <t>ケイゲン</t>
    </rPh>
    <rPh sb="2" eb="4">
      <t>ハンテイ</t>
    </rPh>
    <phoneticPr fontId="2"/>
  </si>
  <si>
    <t>軽減判定①</t>
    <rPh sb="0" eb="2">
      <t>ケイゲン</t>
    </rPh>
    <rPh sb="2" eb="4">
      <t>ハンテイ</t>
    </rPh>
    <phoneticPr fontId="2"/>
  </si>
  <si>
    <t>公的年金の軽減上乗せ分</t>
    <rPh sb="0" eb="2">
      <t>コウテキ</t>
    </rPh>
    <rPh sb="2" eb="4">
      <t>ネンキン</t>
    </rPh>
    <rPh sb="5" eb="7">
      <t>ケイゲン</t>
    </rPh>
    <rPh sb="7" eb="9">
      <t>ウワノ</t>
    </rPh>
    <rPh sb="10" eb="11">
      <t>ブン</t>
    </rPh>
    <phoneticPr fontId="2"/>
  </si>
  <si>
    <t>５割軽減該当判定用（被保数に乗じる）</t>
    <rPh sb="1" eb="2">
      <t>ワリ</t>
    </rPh>
    <rPh sb="2" eb="4">
      <t>ケイゲン</t>
    </rPh>
    <rPh sb="4" eb="6">
      <t>ガイトウ</t>
    </rPh>
    <rPh sb="6" eb="9">
      <t>ハンテイヨウ</t>
    </rPh>
    <rPh sb="10" eb="11">
      <t>ヒ</t>
    </rPh>
    <rPh sb="11" eb="12">
      <t>ホ</t>
    </rPh>
    <rPh sb="12" eb="13">
      <t>スウ</t>
    </rPh>
    <rPh sb="14" eb="15">
      <t>ジョウ</t>
    </rPh>
    <phoneticPr fontId="2"/>
  </si>
  <si>
    <t>２割軽減該当判定用（被保数に乗じる）</t>
    <rPh sb="1" eb="2">
      <t>ワリ</t>
    </rPh>
    <rPh sb="2" eb="4">
      <t>ケイゲン</t>
    </rPh>
    <rPh sb="4" eb="6">
      <t>ガイトウ</t>
    </rPh>
    <phoneticPr fontId="2"/>
  </si>
  <si>
    <t>給与所得①
軽減用給与所得</t>
    <rPh sb="0" eb="2">
      <t>キュウヨ</t>
    </rPh>
    <rPh sb="2" eb="4">
      <t>ショトク</t>
    </rPh>
    <rPh sb="6" eb="8">
      <t>ケイゲン</t>
    </rPh>
    <rPh sb="8" eb="9">
      <t>ヨウ</t>
    </rPh>
    <rPh sb="9" eb="11">
      <t>キュウヨ</t>
    </rPh>
    <rPh sb="11" eb="13">
      <t>ショトク</t>
    </rPh>
    <phoneticPr fontId="2"/>
  </si>
  <si>
    <t>軽減判定用
調整控除計算用</t>
    <rPh sb="0" eb="2">
      <t>ケイゲン</t>
    </rPh>
    <rPh sb="2" eb="4">
      <t>ハンテイ</t>
    </rPh>
    <rPh sb="4" eb="5">
      <t>ヨウ</t>
    </rPh>
    <phoneticPr fontId="2"/>
  </si>
  <si>
    <t>子ども子育て支援金分</t>
    <rPh sb="0" eb="1">
      <t>コ</t>
    </rPh>
    <rPh sb="3" eb="5">
      <t>コソダ</t>
    </rPh>
    <rPh sb="6" eb="8">
      <t>シエン</t>
    </rPh>
    <rPh sb="8" eb="9">
      <t>キン</t>
    </rPh>
    <rPh sb="9" eb="10">
      <t>ブン</t>
    </rPh>
    <phoneticPr fontId="2"/>
  </si>
  <si>
    <t>（内18歳以上均等割）</t>
    <rPh sb="1" eb="2">
      <t>ウチ</t>
    </rPh>
    <rPh sb="4" eb="5">
      <t>サイ</t>
    </rPh>
    <rPh sb="5" eb="7">
      <t>イジョウ</t>
    </rPh>
    <rPh sb="7" eb="10">
      <t>キントウワリ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</si>
</sst>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Red]\-#,##0.0"/>
    <numFmt numFmtId="180"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UD デジタル 教科書体 NK-R"/>
      <family val="1"/>
      <charset val="128"/>
    </font>
    <font>
      <b/>
      <sz val="11"/>
      <name val="UD デジタル 教科書体 NK-R"/>
      <family val="1"/>
      <charset val="128"/>
    </font>
    <font>
      <sz val="11"/>
      <color rgb="FFFF0000"/>
      <name val="UD デジタル 教科書体 NK-R"/>
      <family val="1"/>
      <charset val="128"/>
    </font>
    <font>
      <sz val="10"/>
      <name val="UD デジタル 教科書体 NK-R"/>
      <family val="1"/>
      <charset val="128"/>
    </font>
    <font>
      <sz val="9"/>
      <name val="UD デジタル 教科書体 NK-R"/>
      <family val="1"/>
      <charset val="128"/>
    </font>
    <font>
      <b/>
      <sz val="9"/>
      <name val="UD デジタル 教科書体 NK-R"/>
      <family val="1"/>
      <charset val="128"/>
    </font>
    <font>
      <sz val="8"/>
      <name val="UD デジタル 教科書体 NK-R"/>
      <family val="1"/>
      <charset val="128"/>
    </font>
    <font>
      <b/>
      <sz val="10"/>
      <name val="UD デジタル 教科書体 NK-R"/>
      <family val="1"/>
      <charset val="128"/>
    </font>
    <font>
      <sz val="10.5"/>
      <name val="UD デジタル 教科書体 NK-R"/>
      <family val="1"/>
      <charset val="128"/>
    </font>
    <font>
      <b/>
      <sz val="12"/>
      <name val="UD デジタル 教科書体 NK-R"/>
      <family val="1"/>
      <charset val="128"/>
    </font>
    <font>
      <b/>
      <sz val="20"/>
      <name val="UD デジタル 教科書体 NK-R"/>
      <family val="1"/>
      <charset val="128"/>
    </font>
    <font>
      <u/>
      <sz val="11"/>
      <name val="UD デジタル 教科書体 NK-R"/>
      <family val="1"/>
      <charset val="128"/>
    </font>
    <font>
      <b/>
      <sz val="10"/>
      <color theme="9" tint="-0.499984740745262"/>
      <name val="UD デジタル 教科書体 NK-R"/>
      <family val="1"/>
      <charset val="128"/>
    </font>
    <font>
      <b/>
      <sz val="11"/>
      <color theme="9" tint="-0.249977111117893"/>
      <name val="UD デジタル 教科書体 NK-R"/>
      <family val="1"/>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style="dashed">
        <color indexed="64"/>
      </top>
      <bottom style="medium">
        <color indexed="64"/>
      </bottom>
      <diagonal/>
    </border>
    <border>
      <left/>
      <right style="double">
        <color indexed="8"/>
      </right>
      <top style="double">
        <color indexed="8"/>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medium">
        <color indexed="64"/>
      </right>
      <top/>
      <bottom/>
      <diagonal/>
    </border>
    <border>
      <left style="double">
        <color indexed="8"/>
      </left>
      <right style="double">
        <color indexed="8"/>
      </right>
      <top style="double">
        <color indexed="8"/>
      </top>
      <bottom style="double">
        <color indexed="64"/>
      </bottom>
      <diagonal/>
    </border>
    <border>
      <left style="double">
        <color indexed="8"/>
      </left>
      <right style="double">
        <color indexed="64"/>
      </right>
      <top style="double">
        <color indexed="8"/>
      </top>
      <bottom style="double">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320">
    <xf numFmtId="0" fontId="0" fillId="0" borderId="0" xfId="0"/>
    <xf numFmtId="38" fontId="0" fillId="0" borderId="0" xfId="3" applyFont="1"/>
    <xf numFmtId="38" fontId="0" fillId="0" borderId="1" xfId="3" applyFont="1" applyBorder="1"/>
    <xf numFmtId="178" fontId="0" fillId="0" borderId="1" xfId="1" applyNumberFormat="1" applyFont="1" applyBorder="1"/>
    <xf numFmtId="179" fontId="0" fillId="0" borderId="1" xfId="3" applyNumberFormat="1" applyFont="1" applyBorder="1"/>
    <xf numFmtId="38" fontId="0" fillId="0" borderId="1" xfId="3" applyFont="1" applyBorder="1" applyAlignment="1">
      <alignment horizontal="center"/>
    </xf>
    <xf numFmtId="38" fontId="0" fillId="0" borderId="6" xfId="3" applyFont="1" applyBorder="1"/>
    <xf numFmtId="38" fontId="0" fillId="0" borderId="6" xfId="3" applyFont="1" applyBorder="1" applyAlignment="1">
      <alignment shrinkToFit="1"/>
    </xf>
    <xf numFmtId="38" fontId="0" fillId="0" borderId="6" xfId="3" applyFont="1" applyBorder="1" applyAlignment="1">
      <alignment vertical="center"/>
    </xf>
    <xf numFmtId="38" fontId="0" fillId="2" borderId="1" xfId="3" applyFont="1" applyFill="1" applyBorder="1"/>
    <xf numFmtId="38" fontId="0" fillId="2" borderId="6" xfId="3" applyFont="1" applyFill="1" applyBorder="1"/>
    <xf numFmtId="0" fontId="4" fillId="0" borderId="0" xfId="0" applyFont="1" applyProtection="1"/>
    <xf numFmtId="0" fontId="4" fillId="0" borderId="0" xfId="0" applyFont="1"/>
    <xf numFmtId="0" fontId="4" fillId="0" borderId="0" xfId="0" applyFont="1" applyAlignment="1" applyProtection="1">
      <alignment vertical="center" wrapText="1"/>
    </xf>
    <xf numFmtId="0" fontId="4" fillId="0" borderId="0" xfId="0" applyFont="1" applyFill="1" applyBorder="1" applyProtection="1"/>
    <xf numFmtId="0" fontId="4" fillId="0" borderId="0" xfId="0" applyFont="1" applyAlignment="1" applyProtection="1">
      <alignment vertical="center"/>
    </xf>
    <xf numFmtId="0" fontId="7" fillId="0" borderId="0" xfId="0" applyFont="1" applyAlignment="1" applyProtection="1">
      <alignment vertical="center"/>
    </xf>
    <xf numFmtId="0" fontId="4" fillId="0" borderId="15" xfId="2" applyFont="1" applyFill="1" applyBorder="1" applyAlignment="1" applyProtection="1">
      <alignment vertical="center"/>
    </xf>
    <xf numFmtId="0" fontId="4" fillId="0" borderId="0" xfId="2" applyFont="1" applyFill="1" applyBorder="1" applyAlignment="1" applyProtection="1">
      <alignment vertical="center"/>
    </xf>
    <xf numFmtId="0" fontId="8" fillId="0" borderId="15" xfId="0" applyFont="1" applyFill="1" applyBorder="1" applyAlignment="1" applyProtection="1">
      <alignment vertical="top" wrapText="1"/>
    </xf>
    <xf numFmtId="0" fontId="8" fillId="0" borderId="0" xfId="0" applyFont="1" applyFill="1" applyBorder="1" applyAlignment="1" applyProtection="1">
      <alignment vertical="top" wrapText="1"/>
    </xf>
    <xf numFmtId="0" fontId="6" fillId="0" borderId="0" xfId="0" applyFont="1" applyAlignment="1"/>
    <xf numFmtId="0" fontId="4" fillId="0" borderId="2" xfId="0" applyFont="1" applyBorder="1"/>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7" fillId="2" borderId="10" xfId="0" applyFont="1" applyFill="1" applyBorder="1" applyAlignment="1">
      <alignment horizontal="center" vertical="center" wrapText="1" shrinkToFit="1"/>
    </xf>
    <xf numFmtId="0" fontId="4"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7" fillId="0" borderId="2" xfId="0" applyFont="1" applyBorder="1" applyAlignment="1">
      <alignment horizontal="center" vertical="center" wrapText="1"/>
    </xf>
    <xf numFmtId="38" fontId="4" fillId="0" borderId="0" xfId="3" applyFont="1" applyFill="1" applyBorder="1" applyAlignment="1" applyProtection="1">
      <protection locked="0"/>
    </xf>
    <xf numFmtId="0" fontId="4" fillId="0" borderId="0" xfId="0" applyFont="1" applyFill="1" applyBorder="1" applyAlignment="1" applyProtection="1">
      <alignment vertical="center"/>
    </xf>
    <xf numFmtId="0" fontId="4" fillId="0" borderId="44" xfId="0" applyFont="1" applyBorder="1"/>
    <xf numFmtId="38" fontId="4" fillId="0" borderId="3" xfId="3" applyFont="1" applyBorder="1" applyAlignment="1">
      <alignment horizontal="right" vertical="center"/>
    </xf>
    <xf numFmtId="38" fontId="4" fillId="0" borderId="3" xfId="3" applyFont="1" applyBorder="1" applyAlignment="1">
      <alignment vertical="center"/>
    </xf>
    <xf numFmtId="38" fontId="4" fillId="0" borderId="4" xfId="3" applyFont="1" applyBorder="1" applyAlignment="1">
      <alignment vertical="center"/>
    </xf>
    <xf numFmtId="38" fontId="4" fillId="0" borderId="0" xfId="3" applyFont="1" applyBorder="1" applyAlignment="1">
      <alignment horizontal="right" vertical="center"/>
    </xf>
    <xf numFmtId="38" fontId="4" fillId="0" borderId="5" xfId="3" applyFont="1" applyBorder="1" applyAlignment="1">
      <alignment horizontal="right" vertical="center"/>
    </xf>
    <xf numFmtId="38" fontId="4" fillId="0" borderId="39" xfId="3" applyFont="1" applyBorder="1" applyAlignment="1">
      <alignment vertical="center"/>
    </xf>
    <xf numFmtId="38" fontId="4" fillId="0" borderId="9" xfId="3" applyFont="1" applyBorder="1" applyAlignment="1">
      <alignment vertical="center"/>
    </xf>
    <xf numFmtId="38" fontId="4" fillId="0" borderId="5" xfId="3" applyFont="1" applyBorder="1" applyAlignment="1">
      <alignment vertical="center"/>
    </xf>
    <xf numFmtId="38" fontId="4" fillId="0" borderId="8" xfId="3" applyFont="1" applyBorder="1" applyAlignment="1">
      <alignment vertical="center"/>
    </xf>
    <xf numFmtId="38" fontId="4" fillId="0" borderId="11" xfId="3" applyFont="1" applyBorder="1" applyAlignment="1">
      <alignment vertical="center"/>
    </xf>
    <xf numFmtId="180" fontId="4" fillId="0" borderId="44" xfId="0" applyNumberFormat="1" applyFont="1" applyBorder="1"/>
    <xf numFmtId="38" fontId="4" fillId="0" borderId="4" xfId="3" applyFont="1" applyBorder="1" applyAlignment="1">
      <alignment horizontal="center" vertical="center"/>
    </xf>
    <xf numFmtId="38" fontId="4" fillId="0" borderId="2" xfId="3" applyFont="1" applyBorder="1" applyAlignment="1">
      <alignment horizontal="right" vertical="center"/>
    </xf>
    <xf numFmtId="38" fontId="4" fillId="0" borderId="2" xfId="3" applyFont="1" applyBorder="1" applyAlignment="1">
      <alignment vertical="center"/>
    </xf>
    <xf numFmtId="0" fontId="4" fillId="0" borderId="2" xfId="0" applyFont="1" applyBorder="1" applyAlignment="1">
      <alignment horizontal="center"/>
    </xf>
    <xf numFmtId="38" fontId="4" fillId="0" borderId="5" xfId="3" applyFont="1" applyBorder="1" applyAlignment="1">
      <alignment horizontal="center" vertical="center"/>
    </xf>
    <xf numFmtId="38" fontId="4" fillId="0" borderId="9" xfId="3" applyFont="1" applyBorder="1"/>
    <xf numFmtId="38" fontId="4" fillId="0" borderId="5" xfId="3" applyFont="1" applyBorder="1"/>
    <xf numFmtId="0" fontId="4" fillId="0" borderId="0" xfId="0" applyFont="1" applyBorder="1"/>
    <xf numFmtId="0" fontId="4" fillId="0" borderId="0" xfId="0" applyFont="1" applyBorder="1" applyAlignment="1">
      <alignment horizontal="center" vertical="center"/>
    </xf>
    <xf numFmtId="38" fontId="4" fillId="0" borderId="0" xfId="3" applyFont="1" applyBorder="1" applyAlignment="1">
      <alignment horizontal="center" vertical="center"/>
    </xf>
    <xf numFmtId="38" fontId="4" fillId="0" borderId="0" xfId="3" applyFont="1" applyBorder="1"/>
    <xf numFmtId="0" fontId="7" fillId="0" borderId="0" xfId="0" applyFont="1" applyAlignment="1">
      <alignment horizontal="right"/>
    </xf>
    <xf numFmtId="38" fontId="4" fillId="0" borderId="0" xfId="3" applyFont="1"/>
    <xf numFmtId="0" fontId="4" fillId="2" borderId="0" xfId="0" applyFont="1" applyFill="1" applyAlignment="1">
      <alignment horizontal="center"/>
    </xf>
    <xf numFmtId="0" fontId="7" fillId="2" borderId="0" xfId="0" applyFont="1" applyFill="1" applyAlignment="1">
      <alignment horizontal="right"/>
    </xf>
    <xf numFmtId="0" fontId="4" fillId="0" borderId="1" xfId="0" applyFont="1" applyBorder="1"/>
    <xf numFmtId="0" fontId="7" fillId="0" borderId="1" xfId="0" applyFont="1" applyBorder="1" applyAlignment="1">
      <alignment horizontal="center"/>
    </xf>
    <xf numFmtId="0" fontId="7" fillId="0" borderId="1" xfId="0" applyFont="1" applyBorder="1" applyAlignment="1">
      <alignment horizontal="right"/>
    </xf>
    <xf numFmtId="38" fontId="4" fillId="0" borderId="1" xfId="3" applyFont="1" applyBorder="1"/>
    <xf numFmtId="0" fontId="7" fillId="0" borderId="1" xfId="0" applyFont="1" applyFill="1" applyBorder="1" applyAlignment="1">
      <alignment horizontal="right"/>
    </xf>
    <xf numFmtId="176" fontId="4" fillId="0" borderId="1" xfId="0" applyNumberFormat="1" applyFont="1" applyBorder="1"/>
    <xf numFmtId="0" fontId="4" fillId="0" borderId="1" xfId="0" applyFont="1" applyBorder="1" applyAlignment="1">
      <alignment horizontal="right"/>
    </xf>
    <xf numFmtId="176" fontId="4" fillId="0" borderId="0" xfId="0" applyNumberFormat="1" applyFont="1" applyBorder="1"/>
    <xf numFmtId="38" fontId="4" fillId="2" borderId="1" xfId="3" applyFont="1" applyFill="1" applyBorder="1"/>
    <xf numFmtId="38" fontId="4" fillId="0" borderId="0" xfId="3" applyFont="1" applyFill="1" applyBorder="1"/>
    <xf numFmtId="0" fontId="7" fillId="0" borderId="0" xfId="0" applyFont="1" applyFill="1" applyBorder="1" applyAlignment="1">
      <alignment horizontal="right" shrinkToFit="1"/>
    </xf>
    <xf numFmtId="0" fontId="8" fillId="4" borderId="1" xfId="0" applyFont="1" applyFill="1" applyBorder="1" applyAlignment="1">
      <alignment horizontal="right"/>
    </xf>
    <xf numFmtId="0" fontId="7" fillId="0" borderId="0" xfId="0" applyFont="1"/>
    <xf numFmtId="0" fontId="4" fillId="0" borderId="0" xfId="0" applyFont="1" applyFill="1" applyProtection="1"/>
    <xf numFmtId="0" fontId="7" fillId="0" borderId="0" xfId="0" applyFont="1" applyFill="1" applyProtection="1"/>
    <xf numFmtId="0" fontId="4" fillId="0" borderId="0" xfId="0" applyFont="1" applyFill="1" applyAlignment="1" applyProtection="1"/>
    <xf numFmtId="0" fontId="4" fillId="0" borderId="0" xfId="0" applyFont="1" applyFill="1" applyAlignment="1" applyProtection="1">
      <alignment horizontal="center" vertical="center"/>
    </xf>
    <xf numFmtId="0" fontId="4" fillId="0" borderId="0" xfId="0" applyFont="1" applyFill="1"/>
    <xf numFmtId="0" fontId="4" fillId="0" borderId="0" xfId="0" applyFont="1" applyFill="1" applyAlignment="1" applyProtection="1">
      <alignment vertical="center" wrapText="1"/>
    </xf>
    <xf numFmtId="0" fontId="4" fillId="0" borderId="0" xfId="0" applyFont="1" applyFill="1" applyAlignment="1" applyProtection="1">
      <alignment vertical="center"/>
    </xf>
    <xf numFmtId="0" fontId="4" fillId="0" borderId="0" xfId="0" applyFont="1" applyFill="1" applyAlignment="1" applyProtection="1">
      <alignment horizontal="right"/>
    </xf>
    <xf numFmtId="0" fontId="7" fillId="0" borderId="0" xfId="0" applyFont="1" applyFill="1" applyAlignment="1" applyProtection="1">
      <alignment vertical="top"/>
    </xf>
    <xf numFmtId="0" fontId="7" fillId="0" borderId="0" xfId="0" applyFont="1" applyFill="1" applyAlignment="1" applyProtection="1">
      <alignment vertical="center"/>
    </xf>
    <xf numFmtId="0" fontId="8" fillId="0" borderId="0" xfId="0" applyFont="1" applyFill="1" applyProtection="1"/>
    <xf numFmtId="0" fontId="4" fillId="0" borderId="7"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38" fontId="4" fillId="0" borderId="6" xfId="3" applyFont="1" applyFill="1" applyBorder="1" applyAlignment="1" applyProtection="1">
      <alignment horizontal="center" vertical="center"/>
    </xf>
    <xf numFmtId="177" fontId="4" fillId="0" borderId="6" xfId="3"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6" fontId="4" fillId="0" borderId="0" xfId="0" applyNumberFormat="1" applyFont="1" applyFill="1" applyBorder="1" applyAlignment="1" applyProtection="1">
      <alignment horizontal="right" vertical="center"/>
    </xf>
    <xf numFmtId="0" fontId="4" fillId="6" borderId="0" xfId="0" applyFont="1" applyFill="1" applyProtection="1"/>
    <xf numFmtId="176" fontId="4" fillId="6" borderId="0" xfId="0" applyNumberFormat="1" applyFont="1" applyFill="1" applyBorder="1" applyAlignment="1" applyProtection="1">
      <alignment horizontal="right" vertical="center"/>
    </xf>
    <xf numFmtId="0" fontId="4" fillId="6" borderId="6" xfId="0" applyFont="1" applyFill="1" applyBorder="1" applyAlignment="1" applyProtection="1">
      <alignment horizontal="center"/>
    </xf>
    <xf numFmtId="176" fontId="4" fillId="6" borderId="0" xfId="0" applyNumberFormat="1" applyFont="1" applyFill="1" applyBorder="1" applyAlignment="1" applyProtection="1">
      <alignment vertical="center"/>
    </xf>
    <xf numFmtId="0" fontId="6" fillId="0" borderId="0" xfId="0" applyFont="1" applyFill="1" applyAlignment="1" applyProtection="1"/>
    <xf numFmtId="38" fontId="4" fillId="0" borderId="4" xfId="3" applyFont="1" applyBorder="1" applyAlignment="1">
      <alignment vertical="center"/>
    </xf>
    <xf numFmtId="38" fontId="4" fillId="0" borderId="5" xfId="3" applyFont="1" applyBorder="1" applyAlignment="1">
      <alignment horizontal="right" vertical="center"/>
    </xf>
    <xf numFmtId="38" fontId="4" fillId="0" borderId="4" xfId="3" applyFont="1" applyBorder="1" applyAlignment="1">
      <alignment horizontal="center" vertical="center"/>
    </xf>
    <xf numFmtId="38" fontId="4" fillId="0" borderId="15" xfId="3" applyFont="1" applyFill="1" applyBorder="1" applyAlignment="1" applyProtection="1">
      <alignment vertical="center"/>
    </xf>
    <xf numFmtId="38" fontId="4" fillId="0" borderId="0" xfId="3" applyFont="1" applyFill="1" applyBorder="1" applyAlignment="1" applyProtection="1"/>
    <xf numFmtId="38" fontId="4" fillId="0" borderId="15" xfId="3" applyFont="1" applyFill="1" applyBorder="1" applyAlignment="1" applyProtection="1"/>
    <xf numFmtId="178" fontId="0" fillId="0" borderId="1" xfId="1" applyNumberFormat="1" applyFont="1" applyFill="1" applyBorder="1"/>
    <xf numFmtId="38" fontId="0" fillId="0" borderId="1" xfId="3" applyFont="1" applyFill="1" applyBorder="1"/>
    <xf numFmtId="38" fontId="4" fillId="0" borderId="2" xfId="3" applyFont="1" applyBorder="1" applyAlignment="1">
      <alignment horizontal="right" vertical="center"/>
    </xf>
    <xf numFmtId="0" fontId="4" fillId="0" borderId="0" xfId="0" applyFont="1" applyFill="1" applyBorder="1" applyAlignment="1" applyProtection="1">
      <alignment horizontal="center" vertical="center"/>
    </xf>
    <xf numFmtId="38" fontId="4" fillId="0" borderId="4" xfId="3" applyFont="1" applyBorder="1" applyAlignment="1">
      <alignment horizontal="right" vertical="center"/>
    </xf>
    <xf numFmtId="0" fontId="4" fillId="0" borderId="6" xfId="0" applyFont="1" applyFill="1" applyBorder="1" applyAlignment="1" applyProtection="1">
      <alignment horizontal="center" vertical="center"/>
    </xf>
    <xf numFmtId="38" fontId="4" fillId="0" borderId="5" xfId="3" applyFont="1" applyBorder="1" applyAlignment="1">
      <alignment horizontal="right" vertical="center"/>
    </xf>
    <xf numFmtId="38" fontId="4" fillId="0" borderId="2" xfId="3" applyFont="1" applyBorder="1" applyAlignment="1">
      <alignment horizontal="right" vertical="center"/>
    </xf>
    <xf numFmtId="38" fontId="4" fillId="0" borderId="2" xfId="3" applyFont="1" applyBorder="1" applyAlignment="1">
      <alignment vertical="center"/>
    </xf>
    <xf numFmtId="0" fontId="4" fillId="0" borderId="2" xfId="0" applyFont="1" applyBorder="1" applyAlignment="1">
      <alignment horizontal="center" vertical="center"/>
    </xf>
    <xf numFmtId="38" fontId="0" fillId="2" borderId="1" xfId="3" applyFont="1" applyFill="1" applyBorder="1" applyAlignment="1">
      <alignment horizontal="center"/>
    </xf>
    <xf numFmtId="179" fontId="0" fillId="2" borderId="1" xfId="3" applyNumberFormat="1" applyFont="1" applyFill="1" applyBorder="1"/>
    <xf numFmtId="38" fontId="0" fillId="0" borderId="0" xfId="3" applyFont="1" applyAlignment="1">
      <alignment horizontal="center"/>
    </xf>
    <xf numFmtId="177" fontId="4" fillId="0" borderId="0" xfId="3" applyNumberFormat="1" applyFont="1" applyFill="1" applyBorder="1" applyAlignment="1" applyProtection="1">
      <alignment horizontal="center" vertical="center"/>
    </xf>
    <xf numFmtId="0" fontId="4" fillId="0" borderId="49" xfId="0" applyFont="1" applyBorder="1" applyProtection="1"/>
    <xf numFmtId="0" fontId="4" fillId="0" borderId="11" xfId="0" applyFont="1" applyBorder="1" applyAlignment="1">
      <alignment horizontal="center" vertical="center"/>
    </xf>
    <xf numFmtId="38" fontId="4" fillId="0" borderId="11" xfId="3" applyFont="1" applyBorder="1" applyAlignment="1">
      <alignment horizontal="right" vertical="center"/>
    </xf>
    <xf numFmtId="0" fontId="7" fillId="2" borderId="51" xfId="0" applyFont="1" applyFill="1" applyBorder="1" applyAlignment="1">
      <alignment horizontal="right" shrinkToFit="1"/>
    </xf>
    <xf numFmtId="0" fontId="4" fillId="0" borderId="1" xfId="0" applyFont="1" applyBorder="1" applyAlignment="1">
      <alignment horizontal="center"/>
    </xf>
    <xf numFmtId="0" fontId="7" fillId="0" borderId="2" xfId="0" applyFont="1" applyBorder="1" applyAlignment="1">
      <alignment horizontal="center" vertical="center" shrinkToFit="1"/>
    </xf>
    <xf numFmtId="0" fontId="4" fillId="0" borderId="2" xfId="0" applyFont="1" applyBorder="1" applyAlignment="1">
      <alignment vertical="center" shrinkToFit="1"/>
    </xf>
    <xf numFmtId="0" fontId="10" fillId="3" borderId="2" xfId="0" applyFont="1" applyFill="1" applyBorder="1" applyAlignment="1">
      <alignment horizontal="center" vertical="center" wrapText="1"/>
    </xf>
    <xf numFmtId="38" fontId="4" fillId="4" borderId="1" xfId="3" applyFont="1" applyFill="1" applyBorder="1"/>
    <xf numFmtId="0" fontId="4" fillId="0" borderId="0" xfId="0" applyFont="1" applyBorder="1" applyProtection="1"/>
    <xf numFmtId="0" fontId="12" fillId="0" borderId="0" xfId="0" applyFont="1" applyFill="1" applyAlignment="1"/>
    <xf numFmtId="0" fontId="4" fillId="0" borderId="0" xfId="0" applyFont="1" applyFill="1" applyAlignment="1"/>
    <xf numFmtId="0" fontId="7" fillId="0" borderId="0" xfId="0" applyFont="1" applyFill="1" applyBorder="1" applyAlignment="1">
      <alignment horizontal="center"/>
    </xf>
    <xf numFmtId="0" fontId="7" fillId="0" borderId="50" xfId="0" applyFont="1" applyFill="1" applyBorder="1" applyAlignment="1">
      <alignment horizontal="center"/>
    </xf>
    <xf numFmtId="0" fontId="4" fillId="0" borderId="0" xfId="0" applyFont="1" applyBorder="1" applyAlignment="1">
      <alignment horizontal="center"/>
    </xf>
    <xf numFmtId="0" fontId="4" fillId="0" borderId="50" xfId="0" applyFont="1" applyBorder="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7" fillId="0" borderId="50" xfId="0" applyFont="1" applyBorder="1" applyAlignment="1">
      <alignment horizontal="center"/>
    </xf>
    <xf numFmtId="0" fontId="7" fillId="0" borderId="0" xfId="0" applyFont="1" applyBorder="1" applyAlignment="1">
      <alignment horizontal="center" shrinkToFit="1"/>
    </xf>
    <xf numFmtId="0" fontId="7" fillId="0" borderId="50" xfId="0" applyFont="1" applyBorder="1" applyAlignment="1">
      <alignment horizontal="center" shrinkToFit="1"/>
    </xf>
    <xf numFmtId="38" fontId="4" fillId="0" borderId="5" xfId="3" applyFont="1" applyBorder="1" applyAlignment="1">
      <alignment horizontal="right" vertical="center"/>
    </xf>
    <xf numFmtId="38" fontId="4" fillId="0" borderId="4" xfId="3" applyFont="1" applyBorder="1" applyAlignment="1">
      <alignment horizontal="center" vertical="center"/>
    </xf>
    <xf numFmtId="38" fontId="4" fillId="0" borderId="5" xfId="3" applyFont="1" applyBorder="1" applyAlignment="1">
      <alignment horizontal="center" vertical="center"/>
    </xf>
    <xf numFmtId="38" fontId="0" fillId="0" borderId="0" xfId="3" applyFont="1" applyBorder="1"/>
    <xf numFmtId="38" fontId="0" fillId="0" borderId="0" xfId="3" applyFont="1" applyFill="1" applyBorder="1"/>
    <xf numFmtId="178" fontId="0" fillId="2" borderId="1" xfId="3" applyNumberFormat="1" applyFont="1" applyFill="1" applyBorder="1"/>
    <xf numFmtId="0" fontId="4" fillId="0" borderId="0" xfId="0" applyFont="1" applyFill="1" applyAlignment="1">
      <alignment horizontal="left" shrinkToFit="1"/>
    </xf>
    <xf numFmtId="0" fontId="4" fillId="0" borderId="0" xfId="0" applyFont="1" applyFill="1" applyAlignment="1">
      <alignment horizontal="left"/>
    </xf>
    <xf numFmtId="0" fontId="4" fillId="0" borderId="0" xfId="0" applyFont="1" applyFill="1" applyBorder="1" applyAlignment="1" applyProtection="1">
      <alignment horizontal="left"/>
    </xf>
    <xf numFmtId="0" fontId="5" fillId="0" borderId="0" xfId="0" applyFont="1" applyFill="1" applyAlignment="1" applyProtection="1">
      <alignment horizontal="left"/>
    </xf>
    <xf numFmtId="0" fontId="4" fillId="0" borderId="0" xfId="0" applyFont="1" applyAlignment="1">
      <alignment horizontal="left" vertical="center"/>
    </xf>
    <xf numFmtId="0" fontId="15" fillId="0" borderId="0" xfId="0" applyFont="1" applyFill="1" applyAlignment="1" applyProtection="1">
      <alignment horizontal="left" vertical="center"/>
    </xf>
    <xf numFmtId="0" fontId="4" fillId="0" borderId="0" xfId="0" applyFont="1" applyFill="1" applyAlignment="1">
      <alignment horizontal="left" vertical="center"/>
    </xf>
    <xf numFmtId="0" fontId="12" fillId="0" borderId="0" xfId="0" applyFont="1" applyFill="1" applyAlignment="1">
      <alignment horizontal="left" shrinkToFit="1"/>
    </xf>
    <xf numFmtId="0" fontId="4" fillId="0" borderId="2" xfId="0" applyFont="1" applyBorder="1" applyAlignment="1">
      <alignment horizontal="center" vertical="center"/>
    </xf>
    <xf numFmtId="38" fontId="4" fillId="0" borderId="4" xfId="3" applyFont="1" applyBorder="1" applyAlignment="1">
      <alignment vertical="center"/>
    </xf>
    <xf numFmtId="38" fontId="4" fillId="0" borderId="5" xfId="3"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38" fontId="4" fillId="0" borderId="4" xfId="3" applyFont="1" applyBorder="1" applyAlignment="1">
      <alignment horizontal="center" vertical="center"/>
    </xf>
    <xf numFmtId="38" fontId="4" fillId="0" borderId="5" xfId="3" applyFont="1" applyBorder="1" applyAlignment="1">
      <alignment horizontal="center" vertical="center"/>
    </xf>
    <xf numFmtId="38" fontId="4" fillId="0" borderId="2" xfId="3" applyFont="1" applyBorder="1" applyAlignment="1">
      <alignment vertical="center"/>
    </xf>
    <xf numFmtId="0" fontId="4" fillId="0" borderId="6" xfId="0" applyFont="1" applyFill="1" applyBorder="1" applyAlignment="1" applyProtection="1">
      <alignment horizontal="center" vertical="center"/>
    </xf>
    <xf numFmtId="176" fontId="4" fillId="0" borderId="6" xfId="0" applyNumberFormat="1" applyFont="1" applyFill="1" applyBorder="1" applyAlignment="1" applyProtection="1">
      <alignment horizontal="right" vertical="center"/>
    </xf>
    <xf numFmtId="38" fontId="4" fillId="0" borderId="6" xfId="3" applyFont="1" applyFill="1" applyBorder="1" applyAlignment="1" applyProtection="1">
      <alignment horizontal="right" vertical="center"/>
    </xf>
    <xf numFmtId="38" fontId="4" fillId="0" borderId="29" xfId="3" applyFont="1" applyFill="1" applyBorder="1" applyAlignment="1" applyProtection="1">
      <alignment horizontal="center" vertical="center"/>
    </xf>
    <xf numFmtId="38" fontId="4" fillId="0" borderId="21" xfId="3"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38" fontId="4" fillId="6" borderId="20" xfId="3" applyFont="1" applyFill="1" applyBorder="1" applyAlignment="1" applyProtection="1">
      <alignment horizontal="right" vertical="center"/>
      <protection locked="0"/>
    </xf>
    <xf numFmtId="38" fontId="4" fillId="6" borderId="20" xfId="3" applyFont="1" applyFill="1" applyBorder="1" applyAlignment="1" applyProtection="1">
      <protection locked="0"/>
    </xf>
    <xf numFmtId="38" fontId="4" fillId="6" borderId="21" xfId="3" applyFont="1" applyFill="1" applyBorder="1" applyAlignment="1" applyProtection="1">
      <protection locked="0"/>
    </xf>
    <xf numFmtId="0" fontId="4" fillId="0" borderId="34"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38" fontId="4" fillId="6" borderId="22" xfId="3" applyFont="1" applyFill="1" applyBorder="1" applyAlignment="1" applyProtection="1">
      <protection locked="0"/>
    </xf>
    <xf numFmtId="0" fontId="4" fillId="0" borderId="2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176" fontId="4" fillId="0" borderId="12" xfId="0" applyNumberFormat="1" applyFont="1" applyFill="1" applyBorder="1" applyAlignment="1" applyProtection="1">
      <alignment horizontal="right" vertical="center"/>
    </xf>
    <xf numFmtId="176" fontId="4" fillId="0" borderId="13" xfId="0" applyNumberFormat="1" applyFont="1" applyFill="1" applyBorder="1" applyAlignment="1" applyProtection="1">
      <alignment horizontal="right" vertical="center"/>
    </xf>
    <xf numFmtId="176" fontId="4" fillId="0" borderId="14" xfId="0" applyNumberFormat="1" applyFont="1" applyFill="1" applyBorder="1" applyAlignment="1" applyProtection="1">
      <alignment horizontal="right" vertical="center"/>
    </xf>
    <xf numFmtId="176" fontId="4" fillId="0" borderId="26" xfId="0" applyNumberFormat="1" applyFont="1" applyFill="1" applyBorder="1" applyAlignment="1" applyProtection="1">
      <alignment horizontal="right" vertical="center"/>
    </xf>
    <xf numFmtId="176" fontId="4" fillId="0" borderId="27" xfId="0" applyNumberFormat="1" applyFont="1" applyFill="1" applyBorder="1" applyAlignment="1" applyProtection="1">
      <alignment horizontal="right" vertical="center"/>
    </xf>
    <xf numFmtId="176" fontId="4" fillId="0" borderId="28"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38" fontId="4" fillId="5" borderId="29" xfId="3" applyFont="1" applyFill="1" applyBorder="1" applyAlignment="1" applyProtection="1">
      <alignment horizontal="right" vertical="center"/>
      <protection locked="0"/>
    </xf>
    <xf numFmtId="38" fontId="4" fillId="5" borderId="29" xfId="3" applyFont="1" applyFill="1" applyBorder="1" applyAlignment="1" applyProtection="1">
      <protection locked="0"/>
    </xf>
    <xf numFmtId="38" fontId="4" fillId="5" borderId="21" xfId="3" applyFont="1" applyFill="1" applyBorder="1" applyAlignment="1" applyProtection="1">
      <protection locked="0"/>
    </xf>
    <xf numFmtId="0" fontId="4" fillId="0" borderId="45" xfId="0" applyFont="1" applyFill="1" applyBorder="1" applyAlignment="1" applyProtection="1">
      <alignment horizontal="center" vertical="center" shrinkToFit="1"/>
    </xf>
    <xf numFmtId="0" fontId="4" fillId="0" borderId="45" xfId="0" applyNumberFormat="1" applyFont="1" applyFill="1" applyBorder="1" applyAlignment="1" applyProtection="1">
      <alignment horizontal="right" vertical="center"/>
    </xf>
    <xf numFmtId="0" fontId="4" fillId="0" borderId="46" xfId="0" applyNumberFormat="1" applyFont="1" applyFill="1" applyBorder="1" applyAlignment="1" applyProtection="1">
      <alignment horizontal="right" vertical="center"/>
    </xf>
    <xf numFmtId="176" fontId="4" fillId="0" borderId="23" xfId="0" applyNumberFormat="1" applyFont="1" applyFill="1" applyBorder="1" applyAlignment="1" applyProtection="1">
      <alignment horizontal="right" vertical="center"/>
    </xf>
    <xf numFmtId="176" fontId="4" fillId="0" borderId="24" xfId="0" applyNumberFormat="1" applyFont="1" applyFill="1" applyBorder="1" applyAlignment="1" applyProtection="1">
      <alignment horizontal="right" vertical="center"/>
    </xf>
    <xf numFmtId="176" fontId="4" fillId="0" borderId="25" xfId="0" applyNumberFormat="1" applyFont="1" applyFill="1" applyBorder="1" applyAlignment="1" applyProtection="1">
      <alignment horizontal="right" vertical="center"/>
    </xf>
    <xf numFmtId="0" fontId="4" fillId="0" borderId="37"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38" fontId="4" fillId="5" borderId="31" xfId="3" applyFont="1" applyFill="1" applyBorder="1" applyAlignment="1" applyProtection="1">
      <alignment horizontal="right" vertical="center"/>
      <protection locked="0"/>
    </xf>
    <xf numFmtId="38" fontId="4" fillId="5" borderId="32" xfId="3" applyFont="1" applyFill="1" applyBorder="1" applyAlignment="1" applyProtection="1">
      <alignment horizontal="right" vertical="center"/>
      <protection locked="0"/>
    </xf>
    <xf numFmtId="38" fontId="4" fillId="5" borderId="33" xfId="3" applyFont="1" applyFill="1" applyBorder="1" applyAlignment="1" applyProtection="1">
      <alignment horizontal="right" vertical="center"/>
      <protection locked="0"/>
    </xf>
    <xf numFmtId="38" fontId="4" fillId="5" borderId="17" xfId="3" applyFont="1" applyFill="1" applyBorder="1" applyAlignment="1" applyProtection="1">
      <alignment horizontal="right" vertical="center"/>
      <protection locked="0"/>
    </xf>
    <xf numFmtId="38" fontId="4" fillId="5" borderId="18" xfId="3" applyFont="1" applyFill="1" applyBorder="1" applyAlignment="1" applyProtection="1">
      <alignment horizontal="right" vertical="center"/>
      <protection locked="0"/>
    </xf>
    <xf numFmtId="38" fontId="4" fillId="5" borderId="19" xfId="3" applyFont="1" applyFill="1" applyBorder="1" applyAlignment="1" applyProtection="1">
      <alignment horizontal="right" vertical="center"/>
      <protection locked="0"/>
    </xf>
    <xf numFmtId="0" fontId="4" fillId="5" borderId="29" xfId="0" applyFont="1" applyFill="1" applyBorder="1" applyAlignment="1" applyProtection="1">
      <alignment horizontal="center" vertical="center"/>
      <protection locked="0"/>
    </xf>
    <xf numFmtId="38" fontId="4" fillId="5" borderId="12" xfId="3" applyFont="1" applyFill="1" applyBorder="1" applyAlignment="1" applyProtection="1">
      <alignment horizontal="right" vertical="center"/>
      <protection locked="0"/>
    </xf>
    <xf numFmtId="38" fontId="4" fillId="5" borderId="13" xfId="3" applyFont="1" applyFill="1" applyBorder="1" applyAlignment="1" applyProtection="1">
      <alignment horizontal="right" vertical="center"/>
      <protection locked="0"/>
    </xf>
    <xf numFmtId="38" fontId="4" fillId="5" borderId="14" xfId="3" applyFont="1" applyFill="1" applyBorder="1" applyAlignment="1" applyProtection="1">
      <alignment horizontal="right" vertical="center"/>
      <protection locked="0"/>
    </xf>
    <xf numFmtId="38" fontId="4" fillId="5" borderId="20" xfId="3" applyFont="1" applyFill="1" applyBorder="1" applyAlignment="1" applyProtection="1">
      <alignment horizontal="right" vertical="center"/>
      <protection locked="0"/>
    </xf>
    <xf numFmtId="38" fontId="4" fillId="5" borderId="20" xfId="3" applyFont="1" applyFill="1" applyBorder="1" applyAlignment="1" applyProtection="1">
      <protection locked="0"/>
    </xf>
    <xf numFmtId="38" fontId="4" fillId="0" borderId="30" xfId="3" applyFont="1" applyFill="1" applyBorder="1" applyAlignment="1" applyProtection="1">
      <alignment horizontal="center" vertical="center"/>
    </xf>
    <xf numFmtId="0" fontId="4" fillId="0" borderId="12" xfId="0" applyFont="1" applyFill="1" applyBorder="1" applyAlignment="1" applyProtection="1">
      <alignment horizontal="center" vertical="center" wrapText="1" shrinkToFit="1"/>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38" fontId="4" fillId="0" borderId="4" xfId="3" applyFont="1" applyBorder="1" applyAlignment="1">
      <alignment horizontal="right" vertical="center"/>
    </xf>
    <xf numFmtId="38" fontId="4" fillId="0" borderId="5" xfId="3" applyFont="1" applyBorder="1" applyAlignment="1">
      <alignment horizontal="right" vertical="center"/>
    </xf>
    <xf numFmtId="38" fontId="4" fillId="0" borderId="2" xfId="3" applyFont="1" applyBorder="1" applyAlignment="1">
      <alignment horizontal="right" vertical="center"/>
    </xf>
    <xf numFmtId="0" fontId="4" fillId="6" borderId="6" xfId="0" applyFont="1" applyFill="1" applyBorder="1" applyAlignment="1" applyProtection="1">
      <alignment horizontal="center" vertical="center"/>
      <protection locked="0"/>
    </xf>
    <xf numFmtId="38" fontId="4" fillId="0" borderId="20" xfId="3" applyFont="1" applyFill="1" applyBorder="1" applyAlignment="1" applyProtection="1">
      <alignment horizontal="center" vertical="center"/>
    </xf>
    <xf numFmtId="38" fontId="4" fillId="0" borderId="22" xfId="3" applyFont="1" applyFill="1" applyBorder="1" applyAlignment="1" applyProtection="1">
      <alignment horizontal="center" vertical="center"/>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0" fontId="4" fillId="5" borderId="3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xf>
    <xf numFmtId="176" fontId="4" fillId="0" borderId="23" xfId="3" applyNumberFormat="1" applyFont="1" applyFill="1" applyBorder="1" applyAlignment="1" applyProtection="1">
      <alignment horizontal="right" vertical="center"/>
    </xf>
    <xf numFmtId="176" fontId="4" fillId="0" borderId="24" xfId="3" applyNumberFormat="1" applyFont="1" applyFill="1" applyBorder="1" applyAlignment="1" applyProtection="1">
      <alignment horizontal="right" vertical="center"/>
    </xf>
    <xf numFmtId="176" fontId="4" fillId="0" borderId="25" xfId="3" applyNumberFormat="1" applyFont="1" applyFill="1" applyBorder="1" applyAlignment="1" applyProtection="1">
      <alignment horizontal="right" vertical="center"/>
    </xf>
    <xf numFmtId="176" fontId="4" fillId="6" borderId="23" xfId="0" applyNumberFormat="1" applyFont="1" applyFill="1" applyBorder="1" applyAlignment="1" applyProtection="1">
      <alignment vertical="center"/>
    </xf>
    <xf numFmtId="0" fontId="4" fillId="6" borderId="24" xfId="0" applyFont="1" applyFill="1" applyBorder="1" applyAlignment="1" applyProtection="1">
      <alignment vertical="center"/>
    </xf>
    <xf numFmtId="0" fontId="4" fillId="6" borderId="25" xfId="0" applyFont="1" applyFill="1" applyBorder="1" applyAlignment="1" applyProtection="1">
      <alignment vertical="center"/>
    </xf>
    <xf numFmtId="176" fontId="4" fillId="6" borderId="23"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6" borderId="0" xfId="0" applyFont="1" applyFill="1" applyAlignment="1" applyProtection="1">
      <alignment horizontal="center"/>
    </xf>
    <xf numFmtId="0" fontId="4" fillId="0" borderId="43"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6" borderId="0" xfId="0" applyFont="1" applyFill="1" applyAlignment="1" applyProtection="1">
      <alignment horizontal="center" vertical="center"/>
    </xf>
    <xf numFmtId="38" fontId="4" fillId="6" borderId="15" xfId="3" applyFont="1" applyFill="1" applyBorder="1" applyAlignment="1" applyProtection="1">
      <alignment horizontal="right" vertical="center"/>
      <protection locked="0"/>
    </xf>
    <xf numFmtId="38" fontId="4" fillId="6" borderId="0" xfId="3" applyFont="1" applyFill="1" applyBorder="1" applyAlignment="1" applyProtection="1">
      <alignment horizontal="right" vertical="center"/>
      <protection locked="0"/>
    </xf>
    <xf numFmtId="38" fontId="4" fillId="6" borderId="16" xfId="3" applyFont="1" applyFill="1" applyBorder="1" applyAlignment="1" applyProtection="1">
      <alignment horizontal="right" vertical="center"/>
      <protection locked="0"/>
    </xf>
    <xf numFmtId="38" fontId="4" fillId="5" borderId="26" xfId="3" applyFont="1" applyFill="1" applyBorder="1" applyAlignment="1" applyProtection="1">
      <alignment horizontal="right" vertical="center"/>
      <protection locked="0"/>
    </xf>
    <xf numFmtId="38" fontId="4" fillId="5" borderId="27" xfId="3" applyFont="1" applyFill="1" applyBorder="1" applyAlignment="1" applyProtection="1">
      <alignment horizontal="right" vertical="center"/>
      <protection locked="0"/>
    </xf>
    <xf numFmtId="38" fontId="4" fillId="5" borderId="28" xfId="3" applyFont="1" applyFill="1" applyBorder="1" applyAlignment="1" applyProtection="1">
      <alignment horizontal="right" vertical="center"/>
      <protection locked="0"/>
    </xf>
    <xf numFmtId="0" fontId="4" fillId="0" borderId="6" xfId="0" applyFont="1" applyFill="1" applyBorder="1" applyAlignment="1" applyProtection="1">
      <alignment horizontal="center" vertical="center" shrinkToFit="1"/>
    </xf>
    <xf numFmtId="176" fontId="4" fillId="0" borderId="43" xfId="0" applyNumberFormat="1" applyFont="1" applyFill="1" applyBorder="1" applyAlignment="1" applyProtection="1">
      <alignment horizontal="right" vertical="center"/>
    </xf>
    <xf numFmtId="176" fontId="4" fillId="0" borderId="41" xfId="0" applyNumberFormat="1" applyFont="1" applyFill="1" applyBorder="1" applyAlignment="1" applyProtection="1">
      <alignment horizontal="right" vertical="center"/>
    </xf>
    <xf numFmtId="176" fontId="4" fillId="0" borderId="42" xfId="0" applyNumberFormat="1" applyFont="1" applyFill="1" applyBorder="1" applyAlignment="1" applyProtection="1">
      <alignment horizontal="right" vertical="center"/>
    </xf>
    <xf numFmtId="176" fontId="4" fillId="0" borderId="2" xfId="0" applyNumberFormat="1" applyFont="1" applyBorder="1" applyAlignment="1">
      <alignment horizontal="center"/>
    </xf>
    <xf numFmtId="0" fontId="4" fillId="0" borderId="2" xfId="0" applyFont="1" applyBorder="1" applyAlignment="1">
      <alignment horizontal="center"/>
    </xf>
    <xf numFmtId="3" fontId="4" fillId="0" borderId="4" xfId="3" applyNumberFormat="1" applyFont="1" applyFill="1" applyBorder="1" applyAlignment="1">
      <alignment vertical="center"/>
    </xf>
    <xf numFmtId="3" fontId="4" fillId="0" borderId="5" xfId="3" applyNumberFormat="1" applyFont="1" applyFill="1" applyBorder="1" applyAlignment="1">
      <alignment vertical="center"/>
    </xf>
    <xf numFmtId="3" fontId="4" fillId="0" borderId="4" xfId="3" applyNumberFormat="1" applyFont="1" applyFill="1" applyBorder="1" applyAlignment="1">
      <alignment horizontal="center" vertical="center"/>
    </xf>
    <xf numFmtId="3" fontId="4" fillId="0" borderId="5" xfId="3" applyNumberFormat="1" applyFont="1" applyFill="1" applyBorder="1" applyAlignment="1">
      <alignment horizontal="center" vertical="center"/>
    </xf>
    <xf numFmtId="0" fontId="8" fillId="0" borderId="15"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27"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10" fillId="0" borderId="15"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16" xfId="0" applyFont="1" applyFill="1" applyBorder="1" applyAlignment="1" applyProtection="1">
      <alignment vertical="top" wrapText="1"/>
    </xf>
    <xf numFmtId="0" fontId="10" fillId="0" borderId="26" xfId="0" applyFont="1" applyFill="1" applyBorder="1" applyAlignment="1" applyProtection="1">
      <alignment vertical="top" wrapText="1"/>
    </xf>
    <xf numFmtId="0" fontId="10" fillId="0" borderId="27" xfId="0" applyFont="1" applyFill="1" applyBorder="1" applyAlignment="1" applyProtection="1">
      <alignment vertical="top" wrapText="1"/>
    </xf>
    <xf numFmtId="0" fontId="10" fillId="0" borderId="28" xfId="0" applyFont="1" applyFill="1" applyBorder="1" applyAlignment="1" applyProtection="1">
      <alignment vertical="top" wrapText="1"/>
    </xf>
    <xf numFmtId="38" fontId="4" fillId="5" borderId="30" xfId="3" applyFont="1" applyFill="1" applyBorder="1" applyAlignment="1" applyProtection="1">
      <alignment horizontal="right" vertical="center"/>
      <protection locked="0"/>
    </xf>
    <xf numFmtId="38" fontId="4" fillId="5" borderId="30" xfId="3" applyFont="1" applyFill="1" applyBorder="1" applyAlignment="1" applyProtection="1">
      <protection locked="0"/>
    </xf>
    <xf numFmtId="0" fontId="7" fillId="0" borderId="0" xfId="0" applyFont="1" applyFill="1" applyBorder="1" applyAlignment="1">
      <alignment horizontal="center"/>
    </xf>
    <xf numFmtId="0" fontId="7" fillId="0" borderId="50" xfId="0" applyFont="1" applyFill="1" applyBorder="1" applyAlignment="1">
      <alignment horizontal="center"/>
    </xf>
    <xf numFmtId="0" fontId="4" fillId="0" borderId="0" xfId="0" applyFont="1" applyAlignment="1">
      <alignment horizontal="center"/>
    </xf>
    <xf numFmtId="0" fontId="4" fillId="0" borderId="50" xfId="0" applyFont="1" applyBorder="1" applyAlignment="1">
      <alignment horizontal="center"/>
    </xf>
    <xf numFmtId="0" fontId="14" fillId="0" borderId="48" xfId="0" applyFont="1" applyFill="1" applyBorder="1" applyAlignment="1" applyProtection="1">
      <alignment horizontal="center" vertical="center"/>
    </xf>
    <xf numFmtId="0" fontId="13" fillId="0" borderId="47" xfId="0" applyFont="1" applyFill="1" applyBorder="1" applyAlignment="1" applyProtection="1">
      <alignment horizontal="center" vertical="center" wrapText="1"/>
    </xf>
    <xf numFmtId="38" fontId="4" fillId="0" borderId="34" xfId="0" applyNumberFormat="1" applyFont="1" applyFill="1" applyBorder="1" applyAlignment="1" applyProtection="1">
      <alignment horizontal="right" vertical="center"/>
    </xf>
    <xf numFmtId="0" fontId="4" fillId="0" borderId="36" xfId="0" applyNumberFormat="1" applyFont="1" applyFill="1" applyBorder="1" applyAlignment="1" applyProtection="1">
      <alignment horizontal="right" vertical="center"/>
    </xf>
    <xf numFmtId="38" fontId="4" fillId="0" borderId="49" xfId="3" applyFont="1" applyFill="1" applyBorder="1" applyAlignment="1" applyProtection="1">
      <alignment horizontal="left" vertical="center" shrinkToFit="1"/>
    </xf>
    <xf numFmtId="38" fontId="4" fillId="5" borderId="15" xfId="3" applyFont="1" applyFill="1" applyBorder="1" applyAlignment="1" applyProtection="1">
      <alignment horizontal="right" vertical="center"/>
      <protection locked="0"/>
    </xf>
    <xf numFmtId="38" fontId="4" fillId="5" borderId="0" xfId="3" applyFont="1" applyFill="1" applyBorder="1" applyAlignment="1" applyProtection="1">
      <alignment horizontal="right" vertical="center"/>
      <protection locked="0"/>
    </xf>
    <xf numFmtId="38" fontId="4" fillId="5" borderId="16" xfId="3" applyFont="1" applyFill="1" applyBorder="1" applyAlignment="1" applyProtection="1">
      <alignment horizontal="right" vertical="center"/>
      <protection locked="0"/>
    </xf>
    <xf numFmtId="38" fontId="4" fillId="0" borderId="7"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153760</xdr:colOff>
      <xdr:row>46</xdr:row>
      <xdr:rowOff>72118</xdr:rowOff>
    </xdr:from>
    <xdr:to>
      <xdr:col>15</xdr:col>
      <xdr:colOff>1361</xdr:colOff>
      <xdr:row>47</xdr:row>
      <xdr:rowOff>243569</xdr:rowOff>
    </xdr:to>
    <xdr:sp macro="" textlink="">
      <xdr:nvSpPr>
        <xdr:cNvPr id="3600" name="AutoShape 6">
          <a:extLst>
            <a:ext uri="{FF2B5EF4-FFF2-40B4-BE49-F238E27FC236}">
              <a16:creationId xmlns:a16="http://schemas.microsoft.com/office/drawing/2014/main" id="{00000000-0008-0000-0000-0000100E0000}"/>
            </a:ext>
          </a:extLst>
        </xdr:cNvPr>
        <xdr:cNvSpPr>
          <a:spLocks noChangeArrowheads="1"/>
        </xdr:cNvSpPr>
      </xdr:nvSpPr>
      <xdr:spPr bwMode="auto">
        <a:xfrm>
          <a:off x="3433081" y="9801225"/>
          <a:ext cx="1249137" cy="348344"/>
        </a:xfrm>
        <a:prstGeom prst="downArrow">
          <a:avLst>
            <a:gd name="adj1" fmla="val 59231"/>
            <a:gd name="adj2" fmla="val 65083"/>
          </a:avLst>
        </a:prstGeom>
        <a:solidFill>
          <a:srgbClr val="FAC090"/>
        </a:solidFill>
        <a:ln w="9525">
          <a:solidFill>
            <a:srgbClr val="000000"/>
          </a:solidFill>
          <a:miter lim="800000"/>
          <a:headEnd/>
          <a:tailEnd/>
        </a:ln>
      </xdr:spPr>
    </xdr:sp>
    <xdr:clientData/>
  </xdr:twoCellAnchor>
  <xdr:twoCellAnchor>
    <xdr:from>
      <xdr:col>16</xdr:col>
      <xdr:colOff>179154</xdr:colOff>
      <xdr:row>56</xdr:row>
      <xdr:rowOff>140632</xdr:rowOff>
    </xdr:from>
    <xdr:to>
      <xdr:col>25</xdr:col>
      <xdr:colOff>0</xdr:colOff>
      <xdr:row>58</xdr:row>
      <xdr:rowOff>184196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bwMode="auto">
        <a:xfrm>
          <a:off x="4975272" y="12982573"/>
          <a:ext cx="2319757" cy="525417"/>
        </a:xfrm>
        <a:prstGeom prst="wedgeRoundRectCallout">
          <a:avLst>
            <a:gd name="adj1" fmla="val -54633"/>
            <a:gd name="adj2" fmla="val 42203"/>
            <a:gd name="adj3" fmla="val 16667"/>
          </a:avLst>
        </a:prstGeom>
        <a:solidFill>
          <a:srgbClr val="FFFFFF"/>
        </a:solidFill>
        <a:ln w="9525">
          <a:solidFill>
            <a:srgbClr val="000000"/>
          </a:solidFill>
          <a:round/>
          <a:headEnd/>
          <a:tailEnd/>
        </a:ln>
      </xdr:spPr>
      <xdr:txBody>
        <a:bodyPr vertOverflow="clip" horzOverflow="clip" wrap="square" lIns="27432" tIns="18288" rIns="0" bIns="0" rtlCol="0" anchor="t" upright="1"/>
        <a:lstStyle/>
        <a:p>
          <a:pPr algn="l" rtl="0">
            <a:lnSpc>
              <a:spcPts val="1100"/>
            </a:lnSpc>
          </a:pP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年間の保険税額を、実際には</a:t>
          </a:r>
          <a:r>
            <a:rPr kumimoji="1" lang="ja-JP" altLang="en-US" sz="1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最大８回の納期</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に分けて納めていただきます。</a:t>
          </a:r>
        </a:p>
      </xdr:txBody>
    </xdr:sp>
    <xdr:clientData/>
  </xdr:twoCellAnchor>
  <xdr:twoCellAnchor>
    <xdr:from>
      <xdr:col>0</xdr:col>
      <xdr:colOff>95250</xdr:colOff>
      <xdr:row>56</xdr:row>
      <xdr:rowOff>78442</xdr:rowOff>
    </xdr:from>
    <xdr:to>
      <xdr:col>4</xdr:col>
      <xdr:colOff>930088</xdr:colOff>
      <xdr:row>61</xdr:row>
      <xdr:rowOff>107156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bwMode="auto">
        <a:xfrm>
          <a:off x="95250" y="12920383"/>
          <a:ext cx="1495985" cy="1149302"/>
        </a:xfrm>
        <a:prstGeom prst="wedgeRoundRectCallout">
          <a:avLst>
            <a:gd name="adj1" fmla="val 63783"/>
            <a:gd name="adj2" fmla="val -11540"/>
            <a:gd name="adj3" fmla="val 16667"/>
          </a:avLst>
        </a:prstGeom>
        <a:solidFill>
          <a:srgbClr val="FFFFFF"/>
        </a:solidFill>
        <a:ln w="9525">
          <a:solidFill>
            <a:srgbClr val="000000"/>
          </a:solidFill>
          <a:round/>
          <a:headEnd/>
          <a:tailEnd/>
        </a:ln>
      </xdr:spPr>
      <xdr:txBody>
        <a:bodyPr vertOverflow="clip" horzOverflow="clip" wrap="square" lIns="27432" tIns="18288" rIns="0" bIns="0" rtlCol="0" anchor="t" upright="1"/>
        <a:lstStyle/>
        <a:p>
          <a:pPr algn="l" rtl="0">
            <a:lnSpc>
              <a:spcPts val="1100"/>
            </a:lnSpc>
          </a:pP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最高限度額は</a:t>
          </a:r>
          <a:r>
            <a:rPr kumimoji="1" lang="en-US" altLang="ja-JP" sz="1000" b="0" i="0" u="none" strike="noStrike" baseline="0">
              <a:solidFill>
                <a:sysClr val="windowText" lastClr="000000"/>
              </a:solidFill>
              <a:latin typeface="Century" panose="02040604050505020304" pitchFamily="18" charset="0"/>
              <a:ea typeface="UD デジタル 教科書体 NK-R" panose="02020400000000000000" pitchFamily="18" charset="-128"/>
            </a:rPr>
            <a:t>112</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万円です。</a:t>
          </a:r>
          <a:endParaRPr kumimoji="1" lang="en-US" altLang="ja-JP"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pPr>
          <a:r>
            <a:rPr kumimoji="1" lang="en-US" altLang="ja-JP"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医療分</a:t>
          </a:r>
          <a:r>
            <a:rPr kumimoji="1" lang="en-US" altLang="ja-JP" sz="1000" b="0" i="0" u="none" strike="noStrike" baseline="0">
              <a:solidFill>
                <a:sysClr val="windowText" lastClr="000000"/>
              </a:solidFill>
              <a:latin typeface="Century" panose="02040604050505020304" pitchFamily="18" charset="0"/>
              <a:ea typeface="UD デジタル 教科書体 NK-R" panose="02020400000000000000" pitchFamily="18" charset="-128"/>
            </a:rPr>
            <a:t>66</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万円</a:t>
          </a:r>
          <a:r>
            <a:rPr kumimoji="1" lang="ja-JP" altLang="ja-JP" sz="1100" b="0" i="0" baseline="0">
              <a:effectLst/>
              <a:latin typeface="UD デジタル 教科書体 NK-R" panose="02020400000000000000" pitchFamily="18" charset="-128"/>
              <a:ea typeface="UD デジタル 教科書体 NK-R" panose="02020400000000000000" pitchFamily="18" charset="-128"/>
              <a:cs typeface="+mn-cs"/>
            </a:rPr>
            <a:t>・後期分</a:t>
          </a:r>
          <a:r>
            <a:rPr kumimoji="1" lang="en-US" altLang="ja-JP" sz="1000" b="0" i="0" u="none" strike="noStrike" baseline="0">
              <a:solidFill>
                <a:sysClr val="windowText" lastClr="000000"/>
              </a:solidFill>
              <a:effectLst/>
              <a:latin typeface="Century" panose="02040604050505020304" pitchFamily="18" charset="0"/>
              <a:ea typeface="UD デジタル 教科書体 NK-R" panose="02020400000000000000" pitchFamily="18" charset="-128"/>
              <a:cs typeface="+mn-cs"/>
            </a:rPr>
            <a:t>26</a:t>
          </a:r>
          <a:r>
            <a:rPr kumimoji="1" lang="ja-JP" altLang="ja-JP" sz="1100" b="0" i="0" baseline="0">
              <a:effectLst/>
              <a:latin typeface="UD デジタル 教科書体 NK-R" panose="02020400000000000000" pitchFamily="18" charset="-128"/>
              <a:ea typeface="UD デジタル 教科書体 NK-R" panose="02020400000000000000" pitchFamily="18" charset="-128"/>
              <a:cs typeface="+mn-cs"/>
            </a:rPr>
            <a:t>万円</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・介護分</a:t>
          </a:r>
          <a:r>
            <a:rPr kumimoji="1" lang="en-US" altLang="ja-JP" sz="1000" b="0" i="0" u="none" strike="noStrike" baseline="0">
              <a:solidFill>
                <a:sysClr val="windowText" lastClr="000000"/>
              </a:solidFill>
              <a:latin typeface="Century" panose="02040604050505020304" pitchFamily="18" charset="0"/>
              <a:ea typeface="UD デジタル 教科書体 NK-R" panose="02020400000000000000" pitchFamily="18" charset="-128"/>
            </a:rPr>
            <a:t>17</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万円・子ども子育て支援分</a:t>
          </a:r>
          <a:r>
            <a:rPr kumimoji="1" lang="en-US" altLang="ja-JP"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万円</a:t>
          </a:r>
          <a:r>
            <a:rPr kumimoji="1" lang="en-US" altLang="ja-JP"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endParaRPr kumimoji="1"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226219</xdr:colOff>
      <xdr:row>19</xdr:row>
      <xdr:rowOff>59531</xdr:rowOff>
    </xdr:from>
    <xdr:to>
      <xdr:col>25</xdr:col>
      <xdr:colOff>8608</xdr:colOff>
      <xdr:row>20</xdr:row>
      <xdr:rowOff>59532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09750" y="4857750"/>
          <a:ext cx="5378327" cy="738188"/>
        </a:xfrm>
        <a:prstGeom prst="borderCallout1">
          <a:avLst>
            <a:gd name="adj1" fmla="val 61769"/>
            <a:gd name="adj2" fmla="val -149"/>
            <a:gd name="adj3" fmla="val 142622"/>
            <a:gd name="adj4" fmla="val -4497"/>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成年者は令和</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8</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日時点の年齢 、未就学児は令和</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9</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3</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rPr>
            <a:t>31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cs typeface="+mn-cs"/>
            </a:rPr>
            <a:t>日時点の年齢を入力</a:t>
          </a:r>
          <a:endPar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cs typeface="+mn-cs"/>
          </a:endParaRPr>
        </a:p>
        <a:p>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平成</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19</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4</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2</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日～平成</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20</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4</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日生まれの人は</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19</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歳、</a:t>
          </a:r>
          <a:endPar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平成</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20</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4</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2</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日～平成</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21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年</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4</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月</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1</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日生まれの人は</a:t>
          </a:r>
          <a:r>
            <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rPr>
            <a:t>18</a:t>
          </a:r>
          <a:r>
            <a:rPr kumimoji="1" lang="ja-JP" altLang="en-US" sz="1000">
              <a:solidFill>
                <a:schemeClr val="tx1"/>
              </a:solidFill>
              <a:latin typeface="UD デジタル 教科書体 NK-R" panose="02020400000000000000" pitchFamily="18" charset="-128"/>
              <a:ea typeface="UD デジタル 教科書体 NK-R" panose="02020400000000000000" pitchFamily="18" charset="-128"/>
            </a:rPr>
            <a:t>歳と入力</a:t>
          </a:r>
          <a:endParaRPr kumimoji="1" lang="en-US" altLang="ja-JP" sz="10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absolute">
    <xdr:from>
      <xdr:col>26</xdr:col>
      <xdr:colOff>107157</xdr:colOff>
      <xdr:row>0</xdr:row>
      <xdr:rowOff>0</xdr:rowOff>
    </xdr:from>
    <xdr:to>
      <xdr:col>34</xdr:col>
      <xdr:colOff>784413</xdr:colOff>
      <xdr:row>14</xdr:row>
      <xdr:rowOff>81454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53619" y="0"/>
          <a:ext cx="7664823" cy="36295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UD デジタル 教科書体 NK-R" panose="02020400000000000000" pitchFamily="18" charset="-128"/>
              <a:ea typeface="UD デジタル 教科書体 NK-R" panose="02020400000000000000" pitchFamily="18" charset="-128"/>
            </a:rPr>
            <a:t>※</a:t>
          </a:r>
          <a:r>
            <a:rPr kumimoji="1" lang="ja-JP" altLang="en-US" sz="1400" b="1">
              <a:latin typeface="UD デジタル 教科書体 NK-R" panose="02020400000000000000" pitchFamily="18" charset="-128"/>
              <a:ea typeface="UD デジタル 教科書体 NK-R" panose="02020400000000000000" pitchFamily="18" charset="-128"/>
            </a:rPr>
            <a:t>簡易試算シートの注意事項</a:t>
          </a:r>
          <a:endParaRPr kumimoji="1" lang="en-US" altLang="ja-JP" sz="1400" b="1">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次の場合には、正確な試算ができかねます。</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・世帯主および加入者に所得不明者（未申告者）がいる場合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・年度途中で４０歳・６５歳・７５歳になる方がいる場合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・分離課税所得、専従者給与・控除、純・雑損失の繰越控除のある方がいる場合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・雇用保険受給者資格者（特定受給資格者、特定理由離職者）に対する軽減に該当する方がいる場合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・特定同一世帯所属者がいる場合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特定同一世帯所属者とは、国保から後期高齢者医療に移行した後も同一の世帯に属する方をいいます。</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・出産をした被保険者がいる場合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r>
            <a:rPr kumimoji="1" lang="ja-JP" altLang="en-US" sz="1100" b="0">
              <a:latin typeface="UD デジタル 教科書体 NK-R" panose="02020400000000000000" pitchFamily="18" charset="-128"/>
              <a:ea typeface="UD デジタル 教科書体 NK-R" panose="02020400000000000000" pitchFamily="18" charset="-128"/>
            </a:rPr>
            <a:t>・未成年の被保険者が</a:t>
          </a:r>
          <a:r>
            <a:rPr kumimoji="1" lang="en-US" altLang="ja-JP" sz="1100" b="0">
              <a:latin typeface="UD デジタル 教科書体 NK-R" panose="02020400000000000000" pitchFamily="18" charset="-128"/>
              <a:ea typeface="UD デジタル 教科書体 NK-R" panose="02020400000000000000" pitchFamily="18" charset="-128"/>
            </a:rPr>
            <a:t>3</a:t>
          </a:r>
          <a:r>
            <a:rPr kumimoji="1" lang="ja-JP" altLang="en-US" sz="1100" b="0">
              <a:latin typeface="UD デジタル 教科書体 NK-R" panose="02020400000000000000" pitchFamily="18" charset="-128"/>
              <a:ea typeface="UD デジタル 教科書体 NK-R" panose="02020400000000000000" pitchFamily="18" charset="-128"/>
            </a:rPr>
            <a:t>人以上いる場合</a:t>
          </a:r>
          <a:endParaRPr kumimoji="1" lang="en-US" altLang="ja-JP" sz="1100" b="0">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en-US" altLang="ja-JP" sz="1100" b="0">
              <a:solidFill>
                <a:schemeClr val="dk1"/>
              </a:solidFill>
              <a:latin typeface="UD デジタル 教科書体 NK-R" panose="02020400000000000000" pitchFamily="18" charset="-128"/>
              <a:ea typeface="UD デジタル 教科書体 NK-R" panose="02020400000000000000" pitchFamily="18" charset="-128"/>
              <a:cs typeface="+mn-cs"/>
            </a:rPr>
            <a:t>18</a:t>
          </a:r>
          <a:r>
            <a:rPr kumimoji="1" lang="ja-JP" altLang="ja-JP" sz="1100" b="0">
              <a:solidFill>
                <a:schemeClr val="dk1"/>
              </a:solidFill>
              <a:latin typeface="UD デジタル 教科書体 NK-R" panose="02020400000000000000" pitchFamily="18" charset="-128"/>
              <a:ea typeface="UD デジタル 教科書体 NK-R" panose="02020400000000000000" pitchFamily="18" charset="-128"/>
              <a:cs typeface="+mn-cs"/>
            </a:rPr>
            <a:t>歳以下（高校生相当年齢まで）の被保険者の内、前年中の所得がある方がいる場合</a:t>
          </a:r>
        </a:p>
        <a:p>
          <a:endParaRPr kumimoji="1" lang="en-US" altLang="ja-JP" sz="1100" b="0"/>
        </a:p>
        <a:p>
          <a:endParaRPr kumimoji="1" lang="en-US" altLang="ja-JP" sz="1100" b="0"/>
        </a:p>
        <a:p>
          <a:r>
            <a:rPr kumimoji="1" lang="ja-JP" altLang="en-US" sz="1100" b="0">
              <a:latin typeface="UD デジタル 教科書体 NK-R" panose="02020400000000000000" pitchFamily="18" charset="-128"/>
              <a:ea typeface="UD デジタル 教科書体 NK-R" panose="02020400000000000000" pitchFamily="18" charset="-128"/>
            </a:rPr>
            <a:t>正確な試算をご希望の場合は、世帯主および加入者の前年における全て所得がわかるもの（源泉徴収票、確定申告書の写し等）と本人確認書類（免許証、マイナンバーカード等）を持参し、市役所２階③窓口（税務課）またはお近くのコミュニティセンターまでお越しください。</a:t>
          </a:r>
          <a:endParaRPr kumimoji="1" lang="en-US" altLang="ja-JP" sz="1100" b="0">
            <a:latin typeface="UD デジタル 教科書体 NK-R" panose="02020400000000000000" pitchFamily="18" charset="-128"/>
            <a:ea typeface="UD デジタル 教科書体 NK-R" panose="02020400000000000000" pitchFamily="18" charset="-128"/>
          </a:endParaRPr>
        </a:p>
        <a:p>
          <a:endParaRPr kumimoji="1" lang="ja-JP" altLang="en-US" sz="1100"/>
        </a:p>
      </xdr:txBody>
    </xdr:sp>
    <xdr:clientData/>
  </xdr:twoCellAnchor>
  <xdr:twoCellAnchor editAs="oneCell">
    <xdr:from>
      <xdr:col>4</xdr:col>
      <xdr:colOff>1170047</xdr:colOff>
      <xdr:row>57</xdr:row>
      <xdr:rowOff>56029</xdr:rowOff>
    </xdr:from>
    <xdr:to>
      <xdr:col>7</xdr:col>
      <xdr:colOff>127430</xdr:colOff>
      <xdr:row>61</xdr:row>
      <xdr:rowOff>156882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1194" y="12001500"/>
          <a:ext cx="665580" cy="1019735"/>
        </a:xfrm>
        <a:prstGeom prst="rect">
          <a:avLst/>
        </a:prstGeom>
      </xdr:spPr>
    </xdr:pic>
    <xdr:clientData/>
  </xdr:twoCellAnchor>
  <xdr:twoCellAnchor>
    <xdr:from>
      <xdr:col>10</xdr:col>
      <xdr:colOff>170088</xdr:colOff>
      <xdr:row>56</xdr:row>
      <xdr:rowOff>129260</xdr:rowOff>
    </xdr:from>
    <xdr:to>
      <xdr:col>15</xdr:col>
      <xdr:colOff>17689</xdr:colOff>
      <xdr:row>58</xdr:row>
      <xdr:rowOff>1354</xdr:rowOff>
    </xdr:to>
    <xdr:sp macro="" textlink="">
      <xdr:nvSpPr>
        <xdr:cNvPr id="11" name="AutoShape 6">
          <a:extLst>
            <a:ext uri="{FF2B5EF4-FFF2-40B4-BE49-F238E27FC236}">
              <a16:creationId xmlns:a16="http://schemas.microsoft.com/office/drawing/2014/main" id="{00000000-0008-0000-0000-00000B000000}"/>
            </a:ext>
          </a:extLst>
        </xdr:cNvPr>
        <xdr:cNvSpPr>
          <a:spLocks noChangeArrowheads="1"/>
        </xdr:cNvSpPr>
      </xdr:nvSpPr>
      <xdr:spPr bwMode="auto">
        <a:xfrm>
          <a:off x="3449409" y="11953867"/>
          <a:ext cx="1249137" cy="348344"/>
        </a:xfrm>
        <a:prstGeom prst="downArrow">
          <a:avLst>
            <a:gd name="adj1" fmla="val 59231"/>
            <a:gd name="adj2" fmla="val 65083"/>
          </a:avLst>
        </a:prstGeom>
        <a:solidFill>
          <a:srgbClr val="FAC090"/>
        </a:solidFill>
        <a:ln w="9525">
          <a:solidFill>
            <a:srgbClr val="000000"/>
          </a:solidFill>
          <a:miter lim="800000"/>
          <a:headEnd/>
          <a:tailEnd/>
        </a:ln>
      </xdr:spPr>
    </xdr:sp>
    <xdr:clientData/>
  </xdr:twoCellAnchor>
  <xdr:twoCellAnchor>
    <xdr:from>
      <xdr:col>0</xdr:col>
      <xdr:colOff>73269</xdr:colOff>
      <xdr:row>23</xdr:row>
      <xdr:rowOff>278423</xdr:rowOff>
    </xdr:from>
    <xdr:to>
      <xdr:col>2</xdr:col>
      <xdr:colOff>1</xdr:colOff>
      <xdr:row>40</xdr:row>
      <xdr:rowOff>43962</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73269" y="6531305"/>
          <a:ext cx="173261" cy="3037657"/>
          <a:chOff x="73269" y="5546481"/>
          <a:chExt cx="175847" cy="3033346"/>
        </a:xfrm>
      </xdr:grpSpPr>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bwMode="auto">
          <a:xfrm>
            <a:off x="80596" y="8565173"/>
            <a:ext cx="168520" cy="0"/>
          </a:xfrm>
          <a:prstGeom prst="straightConnector1">
            <a:avLst/>
          </a:prstGeom>
          <a:solidFill>
            <a:srgbClr val="090000"/>
          </a:solidFill>
          <a:ln w="38100" cap="flat" cmpd="sng" algn="ctr">
            <a:solidFill>
              <a:schemeClr val="accent6">
                <a:lumMod val="75000"/>
              </a:schemeClr>
            </a:solidFill>
            <a:prstDash val="dash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bwMode="auto">
          <a:xfrm>
            <a:off x="79129" y="6189786"/>
            <a:ext cx="168520" cy="0"/>
          </a:xfrm>
          <a:prstGeom prst="straightConnector1">
            <a:avLst/>
          </a:prstGeom>
          <a:solidFill>
            <a:srgbClr val="090000"/>
          </a:solidFill>
          <a:ln w="38100" cap="flat" cmpd="sng" algn="ctr">
            <a:solidFill>
              <a:schemeClr val="accent6">
                <a:lumMod val="75000"/>
              </a:schemeClr>
            </a:solidFill>
            <a:prstDash val="dash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bwMode="auto">
          <a:xfrm>
            <a:off x="73269" y="5553808"/>
            <a:ext cx="146539" cy="1"/>
          </a:xfrm>
          <a:prstGeom prst="line">
            <a:avLst/>
          </a:prstGeom>
          <a:solidFill>
            <a:srgbClr val="090000"/>
          </a:solidFill>
          <a:ln w="38100" cap="flat" cmpd="sng" algn="ctr">
            <a:solidFill>
              <a:schemeClr val="accent6">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bwMode="auto">
          <a:xfrm flipH="1">
            <a:off x="80594" y="5546481"/>
            <a:ext cx="7329" cy="3033346"/>
          </a:xfrm>
          <a:prstGeom prst="line">
            <a:avLst/>
          </a:prstGeom>
          <a:solidFill>
            <a:srgbClr val="090000"/>
          </a:solidFill>
          <a:ln w="38100" cap="flat" cmpd="sng" algn="ctr">
            <a:solidFill>
              <a:schemeClr val="accent6">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27432" tIns="18288" rIns="0" bIns="0" anchor="t" upright="1"/>
      <a:lstStyle>
        <a:defPPr algn="l" rtl="0">
          <a:lnSpc>
            <a:spcPts val="1100"/>
          </a:lnSpc>
          <a:defRPr sz="900" b="0" i="0" u="sng" strike="noStrike" baseline="0">
            <a:solidFill>
              <a:srgbClr val="C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rgbClr val="FFFF00"/>
        </a:solidFill>
        <a:ln w="9525" cmpd="sng">
          <a:solidFill>
            <a:schemeClr val="lt1">
              <a:shade val="50000"/>
            </a:schemeClr>
          </a:solidFill>
        </a:ln>
      </a:spPr>
      <a:bodyPr vertOverflow="clip" horzOverflow="clip" wrap="square" rtlCol="0" anchor="t"/>
      <a:lstStyle>
        <a:defPPr>
          <a:defRPr kumimoji="1" sz="1400" b="1">
            <a:latin typeface="UD デジタル 教科書体 NK-R" panose="02020400000000000000" pitchFamily="18" charset="-128"/>
            <a:ea typeface="UD デジタル 教科書体 NK-R" panose="02020400000000000000"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8"/>
  <sheetViews>
    <sheetView showGridLines="0" tabSelected="1" view="pageBreakPreview" zoomScale="85" zoomScaleNormal="100" zoomScaleSheetLayoutView="85" workbookViewId="0">
      <selection activeCell="N32" sqref="N32:Q33"/>
    </sheetView>
  </sheetViews>
  <sheetFormatPr defaultColWidth="2.75" defaultRowHeight="15" x14ac:dyDescent="0.25"/>
  <cols>
    <col min="1" max="1" width="2.625" style="12" customWidth="1"/>
    <col min="2" max="2" width="0.625" style="12" customWidth="1"/>
    <col min="3" max="3" width="2.625" style="12" customWidth="1"/>
    <col min="4" max="4" width="2.75" style="12" customWidth="1"/>
    <col min="5" max="5" width="14.75" style="12" customWidth="1"/>
    <col min="6" max="6" width="4.125" style="12" customWidth="1"/>
    <col min="7" max="7" width="3.125" style="12" customWidth="1"/>
    <col min="8" max="8" width="2.75" style="12" customWidth="1"/>
    <col min="9" max="12" width="3.875" style="12" customWidth="1"/>
    <col min="13" max="13" width="2.75" style="12" customWidth="1"/>
    <col min="14" max="17" width="3.875" style="12" customWidth="1"/>
    <col min="18" max="18" width="2.75" style="12" customWidth="1"/>
    <col min="19" max="22" width="3.875" style="12" customWidth="1"/>
    <col min="23" max="23" width="2.75" style="12" customWidth="1"/>
    <col min="24" max="24" width="4.125" style="12" customWidth="1"/>
    <col min="25" max="25" width="4" style="12" customWidth="1"/>
    <col min="26" max="26" width="3.5" style="12" customWidth="1"/>
    <col min="27" max="27" width="2.875" style="12" customWidth="1"/>
    <col min="28" max="46" width="12.625" style="12" customWidth="1"/>
    <col min="47" max="48" width="2.75" style="12"/>
    <col min="49" max="49" width="9.625" style="12" customWidth="1"/>
    <col min="50" max="50" width="14.5" style="12" customWidth="1"/>
    <col min="51" max="51" width="12.75" style="12" customWidth="1"/>
    <col min="52" max="52" width="2.75" style="12"/>
    <col min="53" max="55" width="12.625" style="12" customWidth="1"/>
    <col min="56" max="16384" width="2.75" style="12"/>
  </cols>
  <sheetData>
    <row r="1" spans="1:29" ht="34.5" customHeight="1" thickTop="1" x14ac:dyDescent="0.25">
      <c r="A1" s="310" t="s">
        <v>112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11"/>
    </row>
    <row r="2" spans="1:29" x14ac:dyDescent="0.25">
      <c r="A2" s="75"/>
      <c r="B2" s="75"/>
      <c r="C2" s="76" t="s">
        <v>114</v>
      </c>
      <c r="D2" s="75" t="s">
        <v>133</v>
      </c>
      <c r="E2" s="75"/>
      <c r="F2" s="75"/>
      <c r="G2" s="75"/>
      <c r="H2" s="75"/>
      <c r="I2" s="75"/>
      <c r="J2" s="75"/>
      <c r="K2" s="75"/>
      <c r="L2" s="75"/>
      <c r="M2" s="75"/>
      <c r="N2" s="75"/>
      <c r="O2" s="75"/>
      <c r="P2" s="75"/>
      <c r="Q2" s="75"/>
      <c r="R2" s="75"/>
      <c r="S2" s="75"/>
      <c r="T2" s="75"/>
      <c r="U2" s="75"/>
      <c r="V2" s="75"/>
      <c r="W2" s="75"/>
      <c r="X2" s="75"/>
      <c r="Y2" s="75"/>
      <c r="Z2" s="11"/>
      <c r="AA2" s="11"/>
    </row>
    <row r="3" spans="1:29" x14ac:dyDescent="0.25">
      <c r="A3" s="75"/>
      <c r="B3" s="75"/>
      <c r="C3" s="76" t="s">
        <v>114</v>
      </c>
      <c r="D3" s="75" t="s">
        <v>73</v>
      </c>
      <c r="E3" s="75"/>
      <c r="F3" s="75"/>
      <c r="G3" s="75"/>
      <c r="H3" s="75"/>
      <c r="I3" s="75"/>
      <c r="J3" s="75"/>
      <c r="K3" s="75"/>
      <c r="L3" s="75"/>
      <c r="M3" s="75"/>
      <c r="N3" s="75"/>
      <c r="O3" s="75"/>
      <c r="P3" s="75"/>
      <c r="Q3" s="75"/>
      <c r="R3" s="75"/>
      <c r="S3" s="75"/>
      <c r="T3" s="75"/>
      <c r="U3" s="75"/>
      <c r="V3" s="75"/>
      <c r="W3" s="75"/>
      <c r="X3" s="75"/>
      <c r="Y3" s="75"/>
      <c r="Z3" s="11"/>
      <c r="AA3" s="11"/>
    </row>
    <row r="4" spans="1:29" x14ac:dyDescent="0.25">
      <c r="A4" s="75"/>
      <c r="B4" s="75"/>
      <c r="C4" s="76"/>
      <c r="D4" s="77" t="s">
        <v>66</v>
      </c>
      <c r="E4" s="75"/>
      <c r="F4" s="75"/>
      <c r="G4" s="75"/>
      <c r="H4" s="75"/>
      <c r="I4" s="75"/>
      <c r="J4" s="75"/>
      <c r="K4" s="75"/>
      <c r="L4" s="75"/>
      <c r="M4" s="75"/>
      <c r="N4" s="75"/>
      <c r="O4" s="75"/>
      <c r="P4" s="75"/>
      <c r="Q4" s="75"/>
      <c r="R4" s="75"/>
      <c r="S4" s="75"/>
      <c r="T4" s="75"/>
      <c r="U4" s="75"/>
      <c r="V4" s="75"/>
      <c r="W4" s="75"/>
      <c r="X4" s="75"/>
      <c r="Y4" s="75"/>
      <c r="Z4" s="11"/>
      <c r="AA4" s="11"/>
    </row>
    <row r="5" spans="1:29" x14ac:dyDescent="0.25">
      <c r="A5" s="75"/>
      <c r="B5" s="75"/>
      <c r="C5" s="76" t="s">
        <v>114</v>
      </c>
      <c r="D5" s="77" t="s">
        <v>122</v>
      </c>
      <c r="E5" s="75"/>
      <c r="F5" s="75"/>
      <c r="G5" s="75"/>
      <c r="H5" s="75"/>
      <c r="I5" s="75"/>
      <c r="J5" s="75"/>
      <c r="K5" s="75"/>
      <c r="L5" s="75"/>
      <c r="M5" s="75"/>
      <c r="N5" s="75"/>
      <c r="O5" s="75"/>
      <c r="P5" s="75"/>
      <c r="Q5" s="75"/>
      <c r="R5" s="75"/>
      <c r="S5" s="75"/>
      <c r="T5" s="75"/>
      <c r="U5" s="75"/>
      <c r="V5" s="75"/>
      <c r="W5" s="75"/>
      <c r="X5" s="75"/>
      <c r="Y5" s="75"/>
      <c r="Z5" s="11"/>
      <c r="AA5" s="11"/>
    </row>
    <row r="6" spans="1:29" x14ac:dyDescent="0.25">
      <c r="A6" s="75"/>
      <c r="B6" s="75"/>
      <c r="C6" s="76"/>
      <c r="D6" s="77" t="s">
        <v>123</v>
      </c>
      <c r="E6" s="75"/>
      <c r="F6" s="75"/>
      <c r="G6" s="75"/>
      <c r="H6" s="75"/>
      <c r="I6" s="75"/>
      <c r="J6" s="75"/>
      <c r="K6" s="75"/>
      <c r="L6" s="75"/>
      <c r="M6" s="75"/>
      <c r="N6" s="75"/>
      <c r="O6" s="75"/>
      <c r="P6" s="75"/>
      <c r="Q6" s="75"/>
      <c r="R6" s="75"/>
      <c r="S6" s="75"/>
      <c r="T6" s="75"/>
      <c r="U6" s="75"/>
      <c r="V6" s="75"/>
      <c r="W6" s="75"/>
      <c r="X6" s="75"/>
      <c r="Y6" s="75"/>
      <c r="Z6" s="11"/>
      <c r="AA6" s="11"/>
    </row>
    <row r="7" spans="1:29" x14ac:dyDescent="0.25">
      <c r="A7" s="75"/>
      <c r="B7" s="75"/>
      <c r="C7" s="76" t="s">
        <v>114</v>
      </c>
      <c r="D7" s="75" t="s">
        <v>67</v>
      </c>
      <c r="E7" s="75"/>
      <c r="F7" s="75"/>
      <c r="G7" s="75"/>
      <c r="H7" s="75"/>
      <c r="I7" s="75"/>
      <c r="J7" s="75"/>
      <c r="K7" s="75"/>
      <c r="L7" s="75"/>
      <c r="M7" s="75"/>
      <c r="N7" s="75"/>
      <c r="O7" s="75"/>
      <c r="P7" s="75"/>
      <c r="Q7" s="75"/>
      <c r="R7" s="75"/>
      <c r="S7" s="75"/>
      <c r="T7" s="75"/>
      <c r="U7" s="75"/>
      <c r="V7" s="75"/>
      <c r="W7" s="75"/>
      <c r="X7" s="75"/>
      <c r="Y7" s="75"/>
      <c r="Z7" s="11"/>
      <c r="AA7" s="11"/>
    </row>
    <row r="8" spans="1:29" ht="46.5" customHeight="1" x14ac:dyDescent="0.25">
      <c r="A8" s="311" t="s">
        <v>124</v>
      </c>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11"/>
    </row>
    <row r="9" spans="1:29" ht="20.25" customHeight="1" x14ac:dyDescent="0.25">
      <c r="A9" s="75"/>
      <c r="B9" s="75"/>
      <c r="C9" s="78">
        <v>1</v>
      </c>
      <c r="D9" s="314" t="s">
        <v>143</v>
      </c>
      <c r="E9" s="314"/>
      <c r="F9" s="314"/>
      <c r="G9" s="314"/>
      <c r="H9" s="314"/>
      <c r="I9" s="314"/>
      <c r="J9" s="314"/>
      <c r="K9" s="314"/>
      <c r="L9" s="314"/>
      <c r="M9" s="314"/>
      <c r="N9" s="314"/>
      <c r="O9" s="314"/>
      <c r="P9" s="314"/>
      <c r="Q9" s="314"/>
      <c r="R9" s="314"/>
      <c r="S9" s="314"/>
      <c r="T9" s="314"/>
      <c r="U9" s="314"/>
      <c r="V9" s="314"/>
      <c r="W9" s="314"/>
      <c r="X9" s="314"/>
      <c r="Y9" s="75"/>
      <c r="Z9" s="118"/>
      <c r="AA9" s="11"/>
    </row>
    <row r="10" spans="1:29" ht="20.25" customHeight="1" x14ac:dyDescent="0.25">
      <c r="A10" s="75"/>
      <c r="B10" s="75"/>
      <c r="C10" s="78"/>
      <c r="D10" s="149" t="s">
        <v>142</v>
      </c>
      <c r="E10" s="149"/>
      <c r="F10" s="149"/>
      <c r="G10" s="149"/>
      <c r="H10" s="149"/>
      <c r="I10" s="149"/>
      <c r="J10" s="149"/>
      <c r="K10" s="149"/>
      <c r="L10" s="149"/>
      <c r="M10" s="149"/>
      <c r="N10" s="149"/>
      <c r="O10" s="149"/>
      <c r="P10" s="149"/>
      <c r="Q10" s="149"/>
      <c r="R10" s="149"/>
      <c r="S10" s="149"/>
      <c r="T10" s="149"/>
      <c r="U10" s="149"/>
      <c r="V10" s="149"/>
      <c r="W10" s="149"/>
      <c r="X10" s="149"/>
      <c r="Y10" s="75"/>
      <c r="Z10" s="127"/>
      <c r="AA10" s="11"/>
    </row>
    <row r="11" spans="1:29" ht="20.100000000000001" customHeight="1" x14ac:dyDescent="0.25">
      <c r="A11" s="75"/>
      <c r="B11" s="75"/>
      <c r="C11" s="78">
        <v>2</v>
      </c>
      <c r="D11" s="148" t="s">
        <v>115</v>
      </c>
      <c r="E11" s="148"/>
      <c r="F11" s="148"/>
      <c r="G11" s="148"/>
      <c r="H11" s="148"/>
      <c r="I11" s="148"/>
      <c r="J11" s="148"/>
      <c r="K11" s="148"/>
      <c r="L11" s="148"/>
      <c r="M11" s="148"/>
      <c r="N11" s="148"/>
      <c r="O11" s="148"/>
      <c r="P11" s="148"/>
      <c r="Q11" s="148"/>
      <c r="R11" s="148"/>
      <c r="S11" s="148"/>
      <c r="T11" s="148"/>
      <c r="U11" s="148"/>
      <c r="V11" s="148"/>
      <c r="W11" s="148"/>
      <c r="X11" s="148"/>
      <c r="Y11" s="75"/>
      <c r="Z11" s="11"/>
      <c r="AA11" s="11"/>
    </row>
    <row r="12" spans="1:29" ht="20.100000000000001" customHeight="1" x14ac:dyDescent="0.25">
      <c r="A12" s="75"/>
      <c r="B12" s="75"/>
      <c r="C12" s="78">
        <v>3</v>
      </c>
      <c r="D12" s="150" t="s">
        <v>121</v>
      </c>
      <c r="E12" s="150"/>
      <c r="F12" s="150"/>
      <c r="G12" s="150"/>
      <c r="H12" s="150"/>
      <c r="I12" s="150"/>
      <c r="J12" s="150"/>
      <c r="K12" s="150"/>
      <c r="L12" s="150"/>
      <c r="M12" s="150"/>
      <c r="N12" s="150"/>
      <c r="O12" s="150"/>
      <c r="P12" s="150"/>
      <c r="Q12" s="150"/>
      <c r="R12" s="150"/>
      <c r="S12" s="150"/>
      <c r="T12" s="150"/>
      <c r="U12" s="150"/>
      <c r="V12" s="150"/>
      <c r="W12" s="150"/>
      <c r="X12" s="150"/>
      <c r="Y12" s="75"/>
      <c r="Z12" s="11"/>
      <c r="AA12" s="11"/>
    </row>
    <row r="13" spans="1:29" ht="20.100000000000001" customHeight="1" x14ac:dyDescent="0.25">
      <c r="A13" s="75"/>
      <c r="B13" s="75"/>
      <c r="C13" s="79"/>
      <c r="D13" s="151" t="s">
        <v>144</v>
      </c>
      <c r="E13" s="151"/>
      <c r="F13" s="151"/>
      <c r="G13" s="151"/>
      <c r="H13" s="151"/>
      <c r="I13" s="151"/>
      <c r="J13" s="151"/>
      <c r="K13" s="151"/>
      <c r="L13" s="151"/>
      <c r="M13" s="151"/>
      <c r="N13" s="151"/>
      <c r="O13" s="151"/>
      <c r="P13" s="151"/>
      <c r="Q13" s="151"/>
      <c r="R13" s="151"/>
      <c r="S13" s="151"/>
      <c r="T13" s="151"/>
      <c r="U13" s="151"/>
      <c r="V13" s="151"/>
      <c r="W13" s="151"/>
      <c r="X13" s="151"/>
      <c r="Y13" s="80"/>
      <c r="Z13" s="13"/>
      <c r="AA13" s="13"/>
    </row>
    <row r="14" spans="1:29" ht="20.100000000000001" customHeight="1" x14ac:dyDescent="0.25">
      <c r="A14" s="75"/>
      <c r="B14" s="75"/>
      <c r="C14" s="79">
        <v>4</v>
      </c>
      <c r="D14" s="146" t="s">
        <v>120</v>
      </c>
      <c r="E14" s="146"/>
      <c r="F14" s="146"/>
      <c r="G14" s="146"/>
      <c r="H14" s="146"/>
      <c r="I14" s="146"/>
      <c r="J14" s="146"/>
      <c r="K14" s="146"/>
      <c r="L14" s="146"/>
      <c r="M14" s="146"/>
      <c r="N14" s="146"/>
      <c r="O14" s="146"/>
      <c r="P14" s="146"/>
      <c r="Q14" s="146"/>
      <c r="R14" s="146"/>
      <c r="S14" s="146"/>
      <c r="T14" s="146"/>
      <c r="U14" s="146"/>
      <c r="V14" s="146"/>
      <c r="W14" s="80"/>
      <c r="X14" s="80"/>
      <c r="Y14" s="80"/>
      <c r="Z14" s="13"/>
      <c r="AA14" s="13"/>
      <c r="AB14" s="97"/>
      <c r="AC14" s="79"/>
    </row>
    <row r="15" spans="1:29" ht="19.5" customHeight="1" x14ac:dyDescent="0.25">
      <c r="A15" s="75"/>
      <c r="B15" s="75"/>
      <c r="C15" s="79"/>
      <c r="D15" s="152" t="s">
        <v>132</v>
      </c>
      <c r="E15" s="152"/>
      <c r="F15" s="152"/>
      <c r="G15" s="152"/>
      <c r="H15" s="152"/>
      <c r="I15" s="152"/>
      <c r="J15" s="152"/>
      <c r="K15" s="152"/>
      <c r="L15" s="152"/>
      <c r="M15" s="152"/>
      <c r="N15" s="152"/>
      <c r="O15" s="152"/>
      <c r="P15" s="152"/>
      <c r="Q15" s="152"/>
      <c r="R15" s="152"/>
      <c r="S15" s="152"/>
      <c r="T15" s="152"/>
      <c r="U15" s="152"/>
      <c r="V15" s="152"/>
      <c r="W15" s="152"/>
      <c r="X15" s="152"/>
      <c r="Y15" s="128"/>
      <c r="Z15" s="13"/>
      <c r="AA15" s="13"/>
      <c r="AB15" s="79"/>
      <c r="AC15" s="79"/>
    </row>
    <row r="16" spans="1:29" ht="20.100000000000001" customHeight="1" x14ac:dyDescent="0.25">
      <c r="A16" s="75"/>
      <c r="B16" s="75"/>
      <c r="C16" s="78">
        <v>5</v>
      </c>
      <c r="D16" s="146" t="s">
        <v>116</v>
      </c>
      <c r="E16" s="146"/>
      <c r="F16" s="146"/>
      <c r="G16" s="146"/>
      <c r="H16" s="146"/>
      <c r="I16" s="146"/>
      <c r="J16" s="146"/>
      <c r="K16" s="146"/>
      <c r="L16" s="146"/>
      <c r="M16" s="146"/>
      <c r="N16" s="146"/>
      <c r="O16" s="146"/>
      <c r="P16" s="146"/>
      <c r="Q16" s="146"/>
      <c r="R16" s="146"/>
      <c r="S16" s="146"/>
      <c r="T16" s="146"/>
      <c r="U16" s="146"/>
      <c r="V16" s="146"/>
      <c r="W16" s="146"/>
      <c r="X16" s="146"/>
      <c r="Y16" s="129"/>
      <c r="Z16" s="11"/>
      <c r="AA16" s="11"/>
      <c r="AB16" s="79"/>
      <c r="AC16" s="79"/>
    </row>
    <row r="17" spans="1:55" ht="20.100000000000001" customHeight="1" x14ac:dyDescent="0.25">
      <c r="A17" s="75"/>
      <c r="B17" s="75"/>
      <c r="C17" s="78">
        <v>6</v>
      </c>
      <c r="D17" s="145" t="s">
        <v>117</v>
      </c>
      <c r="E17" s="145"/>
      <c r="F17" s="145"/>
      <c r="G17" s="145"/>
      <c r="H17" s="145"/>
      <c r="I17" s="145"/>
      <c r="J17" s="145"/>
      <c r="K17" s="145"/>
      <c r="L17" s="145"/>
      <c r="M17" s="145"/>
      <c r="N17" s="145"/>
      <c r="O17" s="145"/>
      <c r="P17" s="145"/>
      <c r="Q17" s="145"/>
      <c r="R17" s="145"/>
      <c r="S17" s="145"/>
      <c r="T17" s="145"/>
      <c r="U17" s="145"/>
      <c r="V17" s="145"/>
      <c r="W17" s="145"/>
      <c r="X17" s="145"/>
      <c r="Y17" s="75"/>
      <c r="Z17" s="11"/>
      <c r="AA17" s="11"/>
      <c r="AB17" s="79"/>
      <c r="AC17" s="79"/>
    </row>
    <row r="18" spans="1:55" ht="16.5" customHeight="1" x14ac:dyDescent="0.25">
      <c r="A18" s="75"/>
      <c r="B18" s="75"/>
      <c r="C18" s="78"/>
      <c r="D18" s="146" t="s">
        <v>118</v>
      </c>
      <c r="E18" s="146"/>
      <c r="F18" s="146"/>
      <c r="G18" s="146"/>
      <c r="H18" s="146"/>
      <c r="I18" s="146"/>
      <c r="J18" s="146"/>
      <c r="K18" s="146"/>
      <c r="L18" s="146"/>
      <c r="M18" s="146"/>
      <c r="N18" s="146"/>
      <c r="O18" s="146"/>
      <c r="P18" s="146"/>
      <c r="Q18" s="146"/>
      <c r="R18" s="146"/>
      <c r="S18" s="146"/>
      <c r="T18" s="146"/>
      <c r="U18" s="146"/>
      <c r="V18" s="146"/>
      <c r="W18" s="146"/>
      <c r="X18" s="146"/>
      <c r="Y18" s="75"/>
      <c r="Z18" s="11"/>
      <c r="AA18" s="11"/>
    </row>
    <row r="19" spans="1:55" ht="20.100000000000001" customHeight="1" x14ac:dyDescent="0.25">
      <c r="A19" s="75"/>
      <c r="B19" s="75"/>
      <c r="C19" s="78">
        <v>7</v>
      </c>
      <c r="D19" s="147" t="s">
        <v>119</v>
      </c>
      <c r="E19" s="147"/>
      <c r="F19" s="147"/>
      <c r="G19" s="147"/>
      <c r="H19" s="147"/>
      <c r="I19" s="147"/>
      <c r="J19" s="147"/>
      <c r="K19" s="147"/>
      <c r="L19" s="147"/>
      <c r="M19" s="147"/>
      <c r="N19" s="147"/>
      <c r="O19" s="147"/>
      <c r="P19" s="147"/>
      <c r="Q19" s="147"/>
      <c r="R19" s="147"/>
      <c r="S19" s="147"/>
      <c r="T19" s="147"/>
      <c r="U19" s="147"/>
      <c r="V19" s="147"/>
      <c r="W19" s="147"/>
      <c r="X19" s="147"/>
      <c r="Y19" s="81"/>
      <c r="Z19" s="15"/>
      <c r="AA19" s="15"/>
    </row>
    <row r="20" spans="1:55" ht="57.75" customHeight="1" x14ac:dyDescent="0.25">
      <c r="A20" s="75"/>
      <c r="B20" s="75"/>
      <c r="C20" s="82"/>
      <c r="D20" s="77"/>
      <c r="E20" s="83"/>
      <c r="F20" s="84"/>
      <c r="G20" s="79"/>
      <c r="H20" s="84"/>
      <c r="I20" s="84"/>
      <c r="J20" s="84"/>
      <c r="K20" s="84"/>
      <c r="L20" s="84"/>
      <c r="M20" s="84"/>
      <c r="N20" s="84"/>
      <c r="O20" s="84"/>
      <c r="P20" s="84"/>
      <c r="Q20" s="84"/>
      <c r="R20" s="84"/>
      <c r="S20" s="84"/>
      <c r="T20" s="84"/>
      <c r="U20" s="84"/>
      <c r="V20" s="84"/>
      <c r="W20" s="84"/>
      <c r="X20" s="84"/>
      <c r="Y20" s="84"/>
      <c r="Z20" s="16"/>
      <c r="AA20" s="16"/>
    </row>
    <row r="21" spans="1:55" ht="24" customHeight="1" thickBot="1" x14ac:dyDescent="0.3">
      <c r="A21" s="75"/>
      <c r="B21" s="75"/>
      <c r="C21" s="85" t="s">
        <v>113</v>
      </c>
      <c r="D21" s="75"/>
      <c r="E21" s="75"/>
      <c r="F21" s="75"/>
      <c r="G21" s="75"/>
      <c r="H21" s="75"/>
      <c r="I21" s="75"/>
      <c r="J21" s="75"/>
      <c r="K21" s="75"/>
      <c r="L21" s="75"/>
      <c r="M21" s="75"/>
      <c r="N21" s="75"/>
      <c r="O21" s="75"/>
      <c r="P21" s="75"/>
      <c r="Q21" s="75"/>
      <c r="R21" s="75"/>
      <c r="S21" s="75"/>
      <c r="T21" s="75"/>
      <c r="U21" s="75"/>
      <c r="V21" s="75"/>
      <c r="W21" s="75"/>
      <c r="X21" s="75"/>
      <c r="Y21" s="75"/>
      <c r="Z21" s="11"/>
      <c r="AA21" s="11"/>
    </row>
    <row r="22" spans="1:55" ht="14.25" customHeight="1" thickTop="1" x14ac:dyDescent="0.25">
      <c r="A22" s="75"/>
      <c r="B22" s="75"/>
      <c r="C22" s="246" t="s">
        <v>68</v>
      </c>
      <c r="D22" s="217"/>
      <c r="E22" s="218"/>
      <c r="F22" s="216" t="s">
        <v>100</v>
      </c>
      <c r="G22" s="217"/>
      <c r="H22" s="218"/>
      <c r="I22" s="176" t="s">
        <v>30</v>
      </c>
      <c r="J22" s="177"/>
      <c r="K22" s="177"/>
      <c r="L22" s="177"/>
      <c r="M22" s="178"/>
      <c r="N22" s="176" t="s">
        <v>31</v>
      </c>
      <c r="O22" s="177"/>
      <c r="P22" s="177"/>
      <c r="Q22" s="177"/>
      <c r="R22" s="178"/>
      <c r="S22" s="246" t="s">
        <v>32</v>
      </c>
      <c r="T22" s="217"/>
      <c r="U22" s="217"/>
      <c r="V22" s="217"/>
      <c r="W22" s="218"/>
      <c r="X22" s="17"/>
      <c r="Y22" s="18"/>
      <c r="Z22" s="18"/>
      <c r="AA22" s="18"/>
    </row>
    <row r="23" spans="1:55" ht="13.5" customHeight="1" x14ac:dyDescent="0.25">
      <c r="A23" s="75"/>
      <c r="B23" s="75"/>
      <c r="C23" s="219"/>
      <c r="D23" s="220"/>
      <c r="E23" s="221"/>
      <c r="F23" s="219"/>
      <c r="G23" s="220"/>
      <c r="H23" s="221"/>
      <c r="I23" s="222"/>
      <c r="J23" s="223"/>
      <c r="K23" s="223"/>
      <c r="L23" s="223"/>
      <c r="M23" s="224"/>
      <c r="N23" s="222"/>
      <c r="O23" s="223"/>
      <c r="P23" s="223"/>
      <c r="Q23" s="223"/>
      <c r="R23" s="224"/>
      <c r="S23" s="219"/>
      <c r="T23" s="220"/>
      <c r="U23" s="220"/>
      <c r="V23" s="220"/>
      <c r="W23" s="221"/>
      <c r="X23" s="17"/>
      <c r="Y23" s="18"/>
      <c r="Z23" s="18"/>
      <c r="AA23" s="18"/>
    </row>
    <row r="24" spans="1:55" ht="27" customHeight="1" thickBot="1" x14ac:dyDescent="0.3">
      <c r="A24" s="75"/>
      <c r="B24" s="75"/>
      <c r="C24" s="292" t="s">
        <v>125</v>
      </c>
      <c r="D24" s="293"/>
      <c r="E24" s="294"/>
      <c r="F24" s="298"/>
      <c r="G24" s="299"/>
      <c r="H24" s="300"/>
      <c r="I24" s="254" t="s">
        <v>58</v>
      </c>
      <c r="J24" s="255"/>
      <c r="K24" s="255"/>
      <c r="L24" s="255"/>
      <c r="M24" s="256"/>
      <c r="N24" s="254" t="s">
        <v>58</v>
      </c>
      <c r="O24" s="255"/>
      <c r="P24" s="255"/>
      <c r="Q24" s="255"/>
      <c r="R24" s="256"/>
      <c r="S24" s="254" t="s">
        <v>64</v>
      </c>
      <c r="T24" s="255"/>
      <c r="U24" s="255"/>
      <c r="V24" s="255"/>
      <c r="W24" s="256"/>
      <c r="X24" s="19"/>
      <c r="Y24" s="20"/>
      <c r="Z24" s="20"/>
      <c r="AA24" s="20"/>
      <c r="AC24" s="12" t="s">
        <v>60</v>
      </c>
      <c r="AD24" s="21" t="s">
        <v>138</v>
      </c>
      <c r="AR24" s="12" t="s">
        <v>77</v>
      </c>
      <c r="AW24" s="12" t="s">
        <v>89</v>
      </c>
      <c r="BA24" s="12" t="s">
        <v>136</v>
      </c>
    </row>
    <row r="25" spans="1:55" ht="27" customHeight="1" thickBot="1" x14ac:dyDescent="0.3">
      <c r="A25" s="75"/>
      <c r="B25" s="75"/>
      <c r="C25" s="295"/>
      <c r="D25" s="296"/>
      <c r="E25" s="297"/>
      <c r="F25" s="301"/>
      <c r="G25" s="302"/>
      <c r="H25" s="303"/>
      <c r="I25" s="257"/>
      <c r="J25" s="258"/>
      <c r="K25" s="258"/>
      <c r="L25" s="258"/>
      <c r="M25" s="259"/>
      <c r="N25" s="257"/>
      <c r="O25" s="258"/>
      <c r="P25" s="258"/>
      <c r="Q25" s="258"/>
      <c r="R25" s="259"/>
      <c r="S25" s="257"/>
      <c r="T25" s="258"/>
      <c r="U25" s="258"/>
      <c r="V25" s="258"/>
      <c r="W25" s="259"/>
      <c r="X25" s="19"/>
      <c r="Y25" s="20"/>
      <c r="Z25" s="20"/>
      <c r="AA25" s="20"/>
      <c r="AC25" s="22"/>
      <c r="AD25" s="23" t="s">
        <v>72</v>
      </c>
      <c r="AE25" s="24" t="s">
        <v>74</v>
      </c>
      <c r="AF25" s="24" t="s">
        <v>152</v>
      </c>
      <c r="AG25" s="25" t="s">
        <v>151</v>
      </c>
      <c r="AH25" s="26" t="s">
        <v>75</v>
      </c>
      <c r="AI25" s="25" t="s">
        <v>76</v>
      </c>
      <c r="AJ25" s="27" t="s">
        <v>55</v>
      </c>
      <c r="AK25" s="28" t="s">
        <v>79</v>
      </c>
      <c r="AL25" s="125" t="s">
        <v>78</v>
      </c>
      <c r="AM25" s="29" t="s">
        <v>70</v>
      </c>
      <c r="AN25" s="30" t="s">
        <v>71</v>
      </c>
      <c r="AO25" s="30" t="s">
        <v>69</v>
      </c>
      <c r="AP25" s="31"/>
      <c r="AR25" s="22"/>
      <c r="AS25" s="30" t="s">
        <v>71</v>
      </c>
      <c r="AT25" s="32" t="s">
        <v>21</v>
      </c>
      <c r="AW25" s="22"/>
      <c r="AX25" s="124" t="s">
        <v>98</v>
      </c>
      <c r="AY25" s="124" t="s">
        <v>90</v>
      </c>
      <c r="BA25" s="22"/>
      <c r="BB25" s="30" t="s">
        <v>71</v>
      </c>
      <c r="BC25" s="123" t="s">
        <v>141</v>
      </c>
    </row>
    <row r="26" spans="1:55" ht="13.5" customHeight="1" thickTop="1" thickBot="1" x14ac:dyDescent="0.3">
      <c r="A26" s="75"/>
      <c r="B26" s="75"/>
      <c r="C26" s="246" t="s">
        <v>52</v>
      </c>
      <c r="D26" s="217"/>
      <c r="E26" s="218"/>
      <c r="F26" s="261"/>
      <c r="G26" s="261"/>
      <c r="H26" s="260" t="s">
        <v>24</v>
      </c>
      <c r="I26" s="210"/>
      <c r="J26" s="211"/>
      <c r="K26" s="211"/>
      <c r="L26" s="212"/>
      <c r="M26" s="215" t="s">
        <v>0</v>
      </c>
      <c r="N26" s="304"/>
      <c r="O26" s="305"/>
      <c r="P26" s="305"/>
      <c r="Q26" s="305"/>
      <c r="R26" s="215" t="s">
        <v>0</v>
      </c>
      <c r="S26" s="304"/>
      <c r="T26" s="305"/>
      <c r="U26" s="305"/>
      <c r="V26" s="305"/>
      <c r="W26" s="215" t="s">
        <v>0</v>
      </c>
      <c r="X26" s="101"/>
      <c r="Y26" s="102"/>
      <c r="Z26" s="33"/>
      <c r="AA26" s="34"/>
      <c r="AB26" s="35"/>
      <c r="AC26" s="156" t="s">
        <v>5</v>
      </c>
      <c r="AD26" s="36">
        <f>IF(I26&lt;=650999,0,IF(I26&lt;=1900000,I26-650000,(IF(I26&lt;=3599999,ROUNDDOWN(I26/4,-3)*4*0.7-80000,IF(I26&lt;=6599999,ROUNDDOWN(I26/4,-3)*4*0.8-440000,IF(I26&lt;=8499999,I26*0.9-1100000,I26-1950000))))))</f>
        <v>0</v>
      </c>
      <c r="AE26" s="36">
        <f>IF(AD26&lt;=0,0,IF(AI26&lt;=0,0,(IF(AD26&lt;=100000,AD26,100000))))</f>
        <v>0</v>
      </c>
      <c r="AF26" s="36">
        <f>IF(AI27&lt;=0,0,IF(AI27&lt;=0,0,(IF(AD26&lt;=100000,AD26,100000))))</f>
        <v>0</v>
      </c>
      <c r="AG26" s="37">
        <f>AD26-AD27</f>
        <v>0</v>
      </c>
      <c r="AH26" s="36">
        <f>IF(N26&lt;=600000,0,IF(N26&lt;=1299999,N26-600000,IF(N26&lt;=4099999,N26*0.75-275000,IF(N26&lt;=7699999,N26*0.85-685000,IF(N26&lt;=9999999,N26*0.95-1455000, IF(N26&gt;=10000000,N26-1955000))))))</f>
        <v>0</v>
      </c>
      <c r="AI26" s="98">
        <f>IF(F26&lt;=64,AH26,AH27)</f>
        <v>0</v>
      </c>
      <c r="AJ26" s="233">
        <f>S26</f>
        <v>0</v>
      </c>
      <c r="AK26" s="38">
        <f>AG26+AI26+AJ26</f>
        <v>0</v>
      </c>
      <c r="AL26" s="38">
        <f>IF(AG26+AI26+AJ26&gt;0,AK26,0)</f>
        <v>0</v>
      </c>
      <c r="AM26" s="288">
        <f>IF(AK26&lt;=24000000, 430000, IF(AK26&lt;=24500000, 290000, IF(AK26&lt;=25000000, 150000, 0)))</f>
        <v>430000</v>
      </c>
      <c r="AN26" s="231" t="str">
        <f>IF((AK26-AM26)&lt;0,"",(AK26-AM26))</f>
        <v/>
      </c>
      <c r="AO26" s="233">
        <f>IF(I26&gt;550000, 1, IF(AI27&gt;0, 1, 0))</f>
        <v>0</v>
      </c>
      <c r="AP26" s="39"/>
      <c r="AR26" s="156" t="s">
        <v>5</v>
      </c>
      <c r="AS26" s="154" t="str">
        <f>IF(AND(F26&gt;=40,F26&lt;=64),(AN26),"")</f>
        <v/>
      </c>
      <c r="AT26" s="160">
        <f>IF(F26&lt;40,0,IF(F26&lt;=64,1,IF(F26&gt;65,0,)))</f>
        <v>0</v>
      </c>
      <c r="AW26" s="287" t="s">
        <v>91</v>
      </c>
      <c r="AX26" s="287" t="str">
        <f>IF(AND(F26&gt;=0,F26&lt;=6),(AN26),"")</f>
        <v/>
      </c>
      <c r="AY26" s="286" t="str">
        <f>IF(F26="","",IF(F26&gt;=7,0,IF(AND(F26&lt;=6,F26&gt;=0),1,0)))</f>
        <v/>
      </c>
      <c r="BA26" s="156" t="s">
        <v>5</v>
      </c>
      <c r="BB26" s="158" t="str">
        <f>IF(AND(F26&gt;=0,F26&gt;=18),(AN26),"")</f>
        <v/>
      </c>
      <c r="BC26" s="160" t="str">
        <f>IF(F26="","",IF(F26&lt;=18,0,IF(AND(F26&gt;=17,F26&gt;=0),1,0)))</f>
        <v/>
      </c>
    </row>
    <row r="27" spans="1:55" ht="17.25" customHeight="1" thickBot="1" x14ac:dyDescent="0.3">
      <c r="A27" s="75"/>
      <c r="B27" s="75"/>
      <c r="C27" s="243" t="s">
        <v>126</v>
      </c>
      <c r="D27" s="244"/>
      <c r="E27" s="245"/>
      <c r="F27" s="209"/>
      <c r="G27" s="209"/>
      <c r="H27" s="166"/>
      <c r="I27" s="206"/>
      <c r="J27" s="207"/>
      <c r="K27" s="207"/>
      <c r="L27" s="208"/>
      <c r="M27" s="164"/>
      <c r="N27" s="190"/>
      <c r="O27" s="190"/>
      <c r="P27" s="190"/>
      <c r="Q27" s="190"/>
      <c r="R27" s="164"/>
      <c r="S27" s="190"/>
      <c r="T27" s="190"/>
      <c r="U27" s="190"/>
      <c r="V27" s="190"/>
      <c r="W27" s="164"/>
      <c r="X27" s="103"/>
      <c r="Y27" s="102"/>
      <c r="Z27" s="33"/>
      <c r="AA27" s="34"/>
      <c r="AB27" s="35"/>
      <c r="AC27" s="157"/>
      <c r="AD27" s="99">
        <f>IF((AE26+AE27-100000)&lt;=0, 0, (AE26+AE27-100000))</f>
        <v>0</v>
      </c>
      <c r="AE27" s="99">
        <f>IF(AD26&lt;=0,0,IF(AI26&lt;=0,0,(IF(AI26&lt;=100000,AI26,100000))))</f>
        <v>0</v>
      </c>
      <c r="AF27" s="139">
        <f>IF(AD26&lt;=0,0,IF(AI27&lt;=0,0,(IF(AD26+AI27&lt;=100000,0,IF(AI27&lt;=100000,AI27,100000)))))</f>
        <v>0</v>
      </c>
      <c r="AG27" s="41">
        <f>IF(AD26-AF27&lt;=0,0,AD26-AF27)</f>
        <v>0</v>
      </c>
      <c r="AH27" s="99">
        <f>IF(N26&lt;=1100000,0,IF(N26&lt;=3299999,N26-1100000,IF(N26&lt;=4099999,N26*0.75-275000,IF(N26&lt;=7699999,N26*0.85-685000,IF(N26&lt;=9999999,N26*0.95-1455000, IF(N26&gt;=10000000,N26-1955000))))))</f>
        <v>0</v>
      </c>
      <c r="AI27" s="42">
        <f>IF(F26&lt;=64,AH26,IF(AH27-150000&lt;=0,0,AH27-150000))</f>
        <v>0</v>
      </c>
      <c r="AJ27" s="233"/>
      <c r="AK27" s="42">
        <f>AG26+AI27+AJ26</f>
        <v>0</v>
      </c>
      <c r="AL27" s="43">
        <f>IF(AG26+AI27+AJ26&gt;0,AK27,0)</f>
        <v>0</v>
      </c>
      <c r="AM27" s="289"/>
      <c r="AN27" s="232"/>
      <c r="AO27" s="233"/>
      <c r="AP27" s="39"/>
      <c r="AR27" s="157"/>
      <c r="AS27" s="155"/>
      <c r="AT27" s="160"/>
      <c r="AW27" s="287"/>
      <c r="AX27" s="287"/>
      <c r="AY27" s="287"/>
      <c r="BA27" s="157"/>
      <c r="BB27" s="159"/>
      <c r="BC27" s="160"/>
    </row>
    <row r="28" spans="1:55" ht="13.5" customHeight="1" thickBot="1" x14ac:dyDescent="0.3">
      <c r="A28" s="75"/>
      <c r="B28" s="75"/>
      <c r="C28" s="225" t="s">
        <v>46</v>
      </c>
      <c r="D28" s="226"/>
      <c r="E28" s="227"/>
      <c r="F28" s="209"/>
      <c r="G28" s="209"/>
      <c r="H28" s="166" t="s">
        <v>24</v>
      </c>
      <c r="I28" s="203"/>
      <c r="J28" s="204"/>
      <c r="K28" s="204"/>
      <c r="L28" s="205"/>
      <c r="M28" s="164" t="s">
        <v>0</v>
      </c>
      <c r="N28" s="189"/>
      <c r="O28" s="190"/>
      <c r="P28" s="190"/>
      <c r="Q28" s="190"/>
      <c r="R28" s="164" t="s">
        <v>0</v>
      </c>
      <c r="S28" s="189"/>
      <c r="T28" s="190"/>
      <c r="U28" s="190"/>
      <c r="V28" s="190"/>
      <c r="W28" s="164" t="s">
        <v>0</v>
      </c>
      <c r="X28" s="101"/>
      <c r="Y28" s="102"/>
      <c r="Z28" s="33"/>
      <c r="AA28" s="34"/>
      <c r="AB28" s="35"/>
      <c r="AC28" s="156" t="s">
        <v>6</v>
      </c>
      <c r="AD28" s="36">
        <f>IF(I28&lt;=650999,0,IF(I28&lt;=1900000,I28-650000,(IF(I28&lt;=3599999,ROUNDDOWN(I28/4,-3)*4*0.7-80000,IF(I28&lt;=6599999,ROUNDDOWN(I28/4,-3)*4*0.8-440000,IF(I28&lt;=8499999,I28*0.9-1100000,I28-1950000))))))</f>
        <v>0</v>
      </c>
      <c r="AE28" s="36">
        <f>IF(AD28&lt;=0,0,IF(AI28&lt;=0,0,(IF(AD28&lt;=100000,AD28,100000))))</f>
        <v>0</v>
      </c>
      <c r="AF28" s="36">
        <f t="shared" ref="AF28" si="0">IF(AI29&lt;=0,0,IF(AI29&lt;=0,0,(IF(AD28&lt;=100000,AD28,100000))))</f>
        <v>0</v>
      </c>
      <c r="AG28" s="37">
        <f>AD28-AD29</f>
        <v>0</v>
      </c>
      <c r="AH28" s="36">
        <f>IF(N28&lt;=600000,0,IF(N28&lt;=1299999,N28-600000,IF(N28&lt;=4099999,N28*0.75-275000,IF(N28&lt;=7699999,N28*0.85-685000,IF(N28&lt;=9999999,N28*0.95-1455000, IF(N28&gt;=10000000,N28-1955000))))))</f>
        <v>0</v>
      </c>
      <c r="AI28" s="98">
        <f>IF(F28&lt;=64,AH28,AH29)</f>
        <v>0</v>
      </c>
      <c r="AJ28" s="233">
        <f>S28</f>
        <v>0</v>
      </c>
      <c r="AK28" s="44">
        <f>AG28+AI28+AJ28</f>
        <v>0</v>
      </c>
      <c r="AL28" s="38">
        <f>IF(AG28+AI28+AJ28&gt;0,AK28,0)</f>
        <v>0</v>
      </c>
      <c r="AM28" s="288">
        <f>IF(AK28&lt;=24000000, 430000, IF(AK28&lt;=24500000, 290000, IF(AK28&lt;=25000000, 150000, 0)))</f>
        <v>430000</v>
      </c>
      <c r="AN28" s="231" t="str">
        <f>IF((AK28-AM28)&lt;0,"",(AK28-AM28))</f>
        <v/>
      </c>
      <c r="AO28" s="233">
        <f>IF(I28&gt;550000, 1, IF(AI29&gt;0, 1, 0))</f>
        <v>0</v>
      </c>
      <c r="AP28" s="39"/>
      <c r="AR28" s="156" t="s">
        <v>6</v>
      </c>
      <c r="AS28" s="154" t="str">
        <f>IF(AND(F28&gt;=40,F28&lt;=64),(AN28),"")</f>
        <v/>
      </c>
      <c r="AT28" s="160">
        <f>IF(F28&lt;40,0,IF(F28&lt;=64,1,IF(F28&gt;65,0,)))</f>
        <v>0</v>
      </c>
      <c r="AW28" s="287" t="s">
        <v>92</v>
      </c>
      <c r="AX28" s="287" t="str">
        <f>IF(AND(F28&gt;=0,F28&lt;=6),(AN28),"")</f>
        <v/>
      </c>
      <c r="AY28" s="287" t="str">
        <f>IF(F28="","",IF(F28&gt;=7,0,IF(AND(F28&lt;=6,F28&gt;=0),1,0)))</f>
        <v/>
      </c>
      <c r="BA28" s="156" t="s">
        <v>6</v>
      </c>
      <c r="BB28" s="154" t="str">
        <f t="shared" ref="BB28" si="1">IF(AND(F28&gt;=0,F28&gt;=18),(AN28),"")</f>
        <v/>
      </c>
      <c r="BC28" s="154" t="str">
        <f t="shared" ref="BC28" si="2">IF(F28="","",IF(F28&lt;=18,0,IF(AND(F28&gt;=17,F28&gt;=0),1,0)))</f>
        <v/>
      </c>
    </row>
    <row r="29" spans="1:55" ht="13.5" customHeight="1" thickBot="1" x14ac:dyDescent="0.3">
      <c r="A29" s="75"/>
      <c r="B29" s="75"/>
      <c r="C29" s="228"/>
      <c r="D29" s="229"/>
      <c r="E29" s="230"/>
      <c r="F29" s="209"/>
      <c r="G29" s="209"/>
      <c r="H29" s="166"/>
      <c r="I29" s="206"/>
      <c r="J29" s="207"/>
      <c r="K29" s="207"/>
      <c r="L29" s="208"/>
      <c r="M29" s="164"/>
      <c r="N29" s="190"/>
      <c r="O29" s="190"/>
      <c r="P29" s="190"/>
      <c r="Q29" s="190"/>
      <c r="R29" s="164"/>
      <c r="S29" s="190"/>
      <c r="T29" s="190"/>
      <c r="U29" s="190"/>
      <c r="V29" s="190"/>
      <c r="W29" s="164"/>
      <c r="X29" s="103"/>
      <c r="Y29" s="102"/>
      <c r="Z29" s="33"/>
      <c r="AA29" s="34"/>
      <c r="AB29" s="35"/>
      <c r="AC29" s="157"/>
      <c r="AD29" s="99">
        <f>IF((AE28+AE29-100000)&lt;=0, 0, (AE28+AE29-100000))</f>
        <v>0</v>
      </c>
      <c r="AE29" s="99">
        <f>IF(AD28&lt;=0,0,IF(AI28&lt;=0,0,(IF(AI28&lt;=100000,AI28,100000))))</f>
        <v>0</v>
      </c>
      <c r="AF29" s="139">
        <f t="shared" ref="AF29" si="3">IF(AD28&lt;=0,0,IF(AI29&lt;=0,0,(IF(AD28+AI29&lt;=100000,0,IF(AI29&lt;=100000,AI29,100000)))))</f>
        <v>0</v>
      </c>
      <c r="AG29" s="41">
        <f>IF(AD28-AF29&lt;=0,0,AD28-AF29)</f>
        <v>0</v>
      </c>
      <c r="AH29" s="99">
        <f>IF(N28&lt;=1100000,0,IF(N28&lt;=3299999,N28-1100000,IF(N28&lt;=4099999,N28*0.75-275000,IF(N28&lt;=7699999,N28*0.85-685000,IF(N28&lt;=9999999,N28*0.95-1455000, IF(N28&gt;=10000000,N28-1955000))))))</f>
        <v>0</v>
      </c>
      <c r="AI29" s="42">
        <f>IF(F28&lt;=64,AH28,IF(AH29-150000&lt;=0,0,AH29-150000))</f>
        <v>0</v>
      </c>
      <c r="AJ29" s="233"/>
      <c r="AK29" s="45">
        <f>AG28+AI29+AJ28</f>
        <v>0</v>
      </c>
      <c r="AL29" s="43">
        <f>IF(AG28+AI29+AJ28&gt;0,AK29,0)</f>
        <v>0</v>
      </c>
      <c r="AM29" s="289"/>
      <c r="AN29" s="232"/>
      <c r="AO29" s="233"/>
      <c r="AP29" s="39"/>
      <c r="AR29" s="157"/>
      <c r="AS29" s="155"/>
      <c r="AT29" s="160"/>
      <c r="AW29" s="287"/>
      <c r="AX29" s="287"/>
      <c r="AY29" s="287"/>
      <c r="BA29" s="157"/>
      <c r="BB29" s="155"/>
      <c r="BC29" s="155"/>
    </row>
    <row r="30" spans="1:55" ht="13.5" customHeight="1" thickBot="1" x14ac:dyDescent="0.3">
      <c r="A30" s="75"/>
      <c r="B30" s="75"/>
      <c r="C30" s="225" t="s">
        <v>47</v>
      </c>
      <c r="D30" s="226"/>
      <c r="E30" s="227"/>
      <c r="F30" s="209"/>
      <c r="G30" s="209"/>
      <c r="H30" s="175" t="s">
        <v>24</v>
      </c>
      <c r="I30" s="315"/>
      <c r="J30" s="316"/>
      <c r="K30" s="316"/>
      <c r="L30" s="317"/>
      <c r="M30" s="235" t="s">
        <v>0</v>
      </c>
      <c r="N30" s="213"/>
      <c r="O30" s="214"/>
      <c r="P30" s="214"/>
      <c r="Q30" s="214"/>
      <c r="R30" s="235" t="s">
        <v>0</v>
      </c>
      <c r="S30" s="213"/>
      <c r="T30" s="214"/>
      <c r="U30" s="214"/>
      <c r="V30" s="214"/>
      <c r="W30" s="235" t="s">
        <v>0</v>
      </c>
      <c r="X30" s="101"/>
      <c r="Y30" s="102"/>
      <c r="Z30" s="33"/>
      <c r="AA30" s="34"/>
      <c r="AB30" s="35"/>
      <c r="AC30" s="156" t="s">
        <v>7</v>
      </c>
      <c r="AD30" s="36">
        <f>IF(I30&lt;=650999,0,IF(I30&lt;=1900000,I30-650000,(IF(I30&lt;=3599999,ROUNDDOWN(I30/4,-3)*4*0.7-80000,IF(I30&lt;=6599999,ROUNDDOWN(I30/4,-3)*4*0.8-440000,IF(I30&lt;=8499999,I30*0.9-1100000,I30-1950000))))))</f>
        <v>0</v>
      </c>
      <c r="AE30" s="36">
        <f>IF(AD30&lt;=0,0,IF(AI30&lt;=0,0,(IF(AD30&lt;=100000,AD30,100000))))</f>
        <v>0</v>
      </c>
      <c r="AF30" s="36">
        <f t="shared" ref="AF30" si="4">IF(AI31&lt;=0,0,IF(AI31&lt;=0,0,(IF(AD30&lt;=100000,AD30,100000))))</f>
        <v>0</v>
      </c>
      <c r="AG30" s="37">
        <f>AD30-AD31</f>
        <v>0</v>
      </c>
      <c r="AH30" s="36">
        <f>IF(N30&lt;=600000,0,IF(N30&lt;=1299999,N30-600000,IF(N30&lt;=4099999,N30*0.75-275000,IF(N30&lt;=7699999,N30*0.85-685000,IF(N30&lt;=9999999,N30*0.95-1455000, IF(N30&gt;=10000000,N30-1955000))))))</f>
        <v>0</v>
      </c>
      <c r="AI30" s="98">
        <f>IF(F30&lt;=64,AH30,AH31)</f>
        <v>0</v>
      </c>
      <c r="AJ30" s="233">
        <f>S30</f>
        <v>0</v>
      </c>
      <c r="AK30" s="44">
        <f>AG30+AI30+AJ30</f>
        <v>0</v>
      </c>
      <c r="AL30" s="38">
        <f>IF(AG30+AI30+AJ30&gt;0,AK30,0)</f>
        <v>0</v>
      </c>
      <c r="AM30" s="288">
        <f>IF(AK30&lt;=24000000, 430000, IF(AK30&lt;=24500000, 290000, IF(AK30&lt;=25000000, 150000, 0)))</f>
        <v>430000</v>
      </c>
      <c r="AN30" s="231" t="str">
        <f t="shared" ref="AN30" si="5">IF((AK30-AM30)&lt;0,"",(AK30-AM30))</f>
        <v/>
      </c>
      <c r="AO30" s="233">
        <f>IF(I30&gt;550000, 1, IF(AI31&gt;0, 1, 0))</f>
        <v>0</v>
      </c>
      <c r="AP30" s="39"/>
      <c r="AR30" s="156" t="s">
        <v>7</v>
      </c>
      <c r="AS30" s="154" t="str">
        <f>IF(AND(F30&gt;=40,F30&lt;=64),(AN30),"")</f>
        <v/>
      </c>
      <c r="AT30" s="160">
        <f>IF(F30&lt;40,0,IF(F30&lt;=64,1,IF(F30&gt;65,0,)))</f>
        <v>0</v>
      </c>
      <c r="AW30" s="287" t="s">
        <v>93</v>
      </c>
      <c r="AX30" s="287" t="str">
        <f>IF(AND(F30&gt;=0,F30&lt;=6),(AN30),"")</f>
        <v/>
      </c>
      <c r="AY30" s="287" t="str">
        <f>IF(F30="","",IF(F30&gt;=7,0,IF(AND(F30&lt;=6,F30&gt;=0),1,0)))</f>
        <v/>
      </c>
      <c r="BA30" s="156" t="s">
        <v>7</v>
      </c>
      <c r="BB30" s="154" t="str">
        <f t="shared" ref="BB30" si="6">IF(AND(F30&gt;=0,F30&gt;=18),(AN30),"")</f>
        <v/>
      </c>
      <c r="BC30" s="154" t="str">
        <f t="shared" ref="BC30" si="7">IF(F30="","",IF(F30&lt;=18,0,IF(AND(F30&gt;=17,F30&gt;=0),1,0)))</f>
        <v/>
      </c>
    </row>
    <row r="31" spans="1:55" ht="13.5" customHeight="1" thickBot="1" x14ac:dyDescent="0.3">
      <c r="A31" s="75"/>
      <c r="B31" s="75"/>
      <c r="C31" s="228"/>
      <c r="D31" s="229"/>
      <c r="E31" s="230"/>
      <c r="F31" s="209"/>
      <c r="G31" s="209"/>
      <c r="H31" s="166"/>
      <c r="I31" s="206"/>
      <c r="J31" s="207"/>
      <c r="K31" s="207"/>
      <c r="L31" s="208"/>
      <c r="M31" s="164"/>
      <c r="N31" s="190"/>
      <c r="O31" s="190"/>
      <c r="P31" s="190"/>
      <c r="Q31" s="190"/>
      <c r="R31" s="164"/>
      <c r="S31" s="190"/>
      <c r="T31" s="190"/>
      <c r="U31" s="190"/>
      <c r="V31" s="190"/>
      <c r="W31" s="164"/>
      <c r="X31" s="103"/>
      <c r="Y31" s="102"/>
      <c r="Z31" s="33"/>
      <c r="AA31" s="34"/>
      <c r="AB31" s="35"/>
      <c r="AC31" s="157"/>
      <c r="AD31" s="99">
        <f>IF((AE30+AE31-100000)&lt;=0, 0, (AE30+AE31-100000))</f>
        <v>0</v>
      </c>
      <c r="AE31" s="99">
        <f>IF(AD30&lt;=0,0,IF(AI30&lt;=0,0,(IF(AI30&lt;=100000,AI30,100000))))</f>
        <v>0</v>
      </c>
      <c r="AF31" s="139">
        <f t="shared" ref="AF31" si="8">IF(AD30&lt;=0,0,IF(AI31&lt;=0,0,(IF(AD30+AI31&lt;=100000,0,IF(AI31&lt;=100000,AI31,100000)))))</f>
        <v>0</v>
      </c>
      <c r="AG31" s="41">
        <f>IF(AD30-AF31&lt;=0,0,AD30-AF31)</f>
        <v>0</v>
      </c>
      <c r="AH31" s="99">
        <f>IF(N30&lt;=1100000,0,IF(N30&lt;=3299999,N30-1100000,IF(N30&lt;=4099999,N30*0.75-275000,IF(N30&lt;=7699999,N30*0.85-685000,IF(N30&lt;=9999999,N30*0.95-1455000, IF(N30&gt;=10000000,N30-1955000))))))</f>
        <v>0</v>
      </c>
      <c r="AI31" s="42">
        <f>IF(F30&lt;=64,AH30,IF(AH31-150000&lt;=0,0,AH31-150000))</f>
        <v>0</v>
      </c>
      <c r="AJ31" s="233"/>
      <c r="AK31" s="45">
        <f>AG30+AI31+AJ30</f>
        <v>0</v>
      </c>
      <c r="AL31" s="43">
        <f>IF(AG30+AI31+AJ30&gt;0,AK31,0)</f>
        <v>0</v>
      </c>
      <c r="AM31" s="289"/>
      <c r="AN31" s="232"/>
      <c r="AO31" s="233"/>
      <c r="AP31" s="39"/>
      <c r="AR31" s="157"/>
      <c r="AS31" s="155"/>
      <c r="AT31" s="160"/>
      <c r="AW31" s="287"/>
      <c r="AX31" s="287"/>
      <c r="AY31" s="287"/>
      <c r="BA31" s="157"/>
      <c r="BB31" s="155"/>
      <c r="BC31" s="155"/>
    </row>
    <row r="32" spans="1:55" ht="13.5" customHeight="1" thickBot="1" x14ac:dyDescent="0.3">
      <c r="A32" s="75"/>
      <c r="B32" s="75"/>
      <c r="C32" s="225" t="s">
        <v>48</v>
      </c>
      <c r="D32" s="226"/>
      <c r="E32" s="227"/>
      <c r="F32" s="209"/>
      <c r="G32" s="209"/>
      <c r="H32" s="166" t="s">
        <v>24</v>
      </c>
      <c r="I32" s="203"/>
      <c r="J32" s="204"/>
      <c r="K32" s="204"/>
      <c r="L32" s="205"/>
      <c r="M32" s="164" t="s">
        <v>0</v>
      </c>
      <c r="N32" s="189"/>
      <c r="O32" s="190"/>
      <c r="P32" s="190"/>
      <c r="Q32" s="190"/>
      <c r="R32" s="164" t="s">
        <v>0</v>
      </c>
      <c r="S32" s="189"/>
      <c r="T32" s="190"/>
      <c r="U32" s="190"/>
      <c r="V32" s="190"/>
      <c r="W32" s="164" t="s">
        <v>0</v>
      </c>
      <c r="X32" s="101"/>
      <c r="Y32" s="102"/>
      <c r="Z32" s="33"/>
      <c r="AA32" s="34"/>
      <c r="AB32" s="35"/>
      <c r="AC32" s="156" t="s">
        <v>8</v>
      </c>
      <c r="AD32" s="36">
        <f>IF(I32&lt;=650999,0,IF(I32&lt;=1900000,I32-650000,(IF(I32&lt;=3599999,ROUNDDOWN(I32/4,-3)*4*0.7-80000,IF(I32&lt;=6599999,ROUNDDOWN(I32/4,-3)*4*0.8-440000,IF(I32&lt;=8499999,I32*0.9-1100000,I32-1950000))))))</f>
        <v>0</v>
      </c>
      <c r="AE32" s="36">
        <f>IF(AD32&lt;=0,0,IF(AI32&lt;=0,0,(IF(AD32&lt;=100000,AD32,100000))))</f>
        <v>0</v>
      </c>
      <c r="AF32" s="36">
        <f t="shared" ref="AF32" si="9">IF(AI33&lt;=0,0,IF(AI33&lt;=0,0,(IF(AD32&lt;=100000,AD32,100000))))</f>
        <v>0</v>
      </c>
      <c r="AG32" s="37">
        <f>AD32-AD33</f>
        <v>0</v>
      </c>
      <c r="AH32" s="36">
        <f>IF(N32&lt;=600000,0,IF(N32&lt;=1299999,N32-600000,IF(N32&lt;=4099999,N32*0.75-275000,IF(N32&lt;=7699999,N32*0.85-685000,IF(N32&lt;=9999999,N32*0.95-1455000, IF(N32&gt;=10000000,N32-1955000))))))</f>
        <v>0</v>
      </c>
      <c r="AI32" s="98">
        <f>IF(F32&lt;=64,AH32,AH33)</f>
        <v>0</v>
      </c>
      <c r="AJ32" s="233">
        <f>S32</f>
        <v>0</v>
      </c>
      <c r="AK32" s="38">
        <f>AG32+AI32+AJ32</f>
        <v>0</v>
      </c>
      <c r="AL32" s="38">
        <f>IF(AG32+AI32+AJ32&gt;0,AK32,0)</f>
        <v>0</v>
      </c>
      <c r="AM32" s="288">
        <f>IF(AK32&lt;=24000000, 430000, IF(AK32&lt;=24500000, 290000, IF(AK32&lt;=25000000, 150000, 0)))</f>
        <v>430000</v>
      </c>
      <c r="AN32" s="231" t="str">
        <f t="shared" ref="AN32" si="10">IF((AK32-AM32)&lt;0,"",(AK32-AM32))</f>
        <v/>
      </c>
      <c r="AO32" s="233">
        <f>IF(I32&gt;550000, 1, IF(AI33&gt;0, 1, 0))</f>
        <v>0</v>
      </c>
      <c r="AP32" s="39"/>
      <c r="AR32" s="156" t="s">
        <v>8</v>
      </c>
      <c r="AS32" s="154" t="str">
        <f>IF(AND(F32&gt;=40,F32&lt;=64),(AN32),"")</f>
        <v/>
      </c>
      <c r="AT32" s="160">
        <f>IF(F32&lt;40,0,IF(F32&lt;=64,1,IF(F32&gt;65,0,)))</f>
        <v>0</v>
      </c>
      <c r="AW32" s="287" t="s">
        <v>94</v>
      </c>
      <c r="AX32" s="287" t="str">
        <f>IF(AND(F32&gt;=0,F32&lt;=6),(AN32),"")</f>
        <v/>
      </c>
      <c r="AY32" s="287" t="str">
        <f>IF(F32="","",IF(F32&gt;=7,0,IF(AND(F32&lt;=6,F32&gt;=0),1,0)))</f>
        <v/>
      </c>
      <c r="BA32" s="156" t="s">
        <v>8</v>
      </c>
      <c r="BB32" s="154" t="str">
        <f t="shared" ref="BB32" si="11">IF(AND(F32&gt;=0,F32&gt;=18),(AN32),"")</f>
        <v/>
      </c>
      <c r="BC32" s="154" t="str">
        <f t="shared" ref="BC32" si="12">IF(F32="","",IF(F32&lt;=18,0,IF(AND(F32&gt;=17,F32&gt;=0),1,0)))</f>
        <v/>
      </c>
    </row>
    <row r="33" spans="1:55" ht="13.5" customHeight="1" thickBot="1" x14ac:dyDescent="0.3">
      <c r="A33" s="75"/>
      <c r="B33" s="75"/>
      <c r="C33" s="228"/>
      <c r="D33" s="229"/>
      <c r="E33" s="230"/>
      <c r="F33" s="209"/>
      <c r="G33" s="209"/>
      <c r="H33" s="166"/>
      <c r="I33" s="206"/>
      <c r="J33" s="207"/>
      <c r="K33" s="207"/>
      <c r="L33" s="208"/>
      <c r="M33" s="164"/>
      <c r="N33" s="190"/>
      <c r="O33" s="190"/>
      <c r="P33" s="190"/>
      <c r="Q33" s="190"/>
      <c r="R33" s="164"/>
      <c r="S33" s="190"/>
      <c r="T33" s="190"/>
      <c r="U33" s="190"/>
      <c r="V33" s="190"/>
      <c r="W33" s="164"/>
      <c r="X33" s="103"/>
      <c r="Y33" s="102"/>
      <c r="Z33" s="33"/>
      <c r="AA33" s="34"/>
      <c r="AB33" s="35"/>
      <c r="AC33" s="157"/>
      <c r="AD33" s="99">
        <f>IF((AE32+AE33-100000)&lt;=0, 0, (AE32+AE33-100000))</f>
        <v>0</v>
      </c>
      <c r="AE33" s="99">
        <f>IF(AD32&lt;=0,0,IF(AI32&lt;=0,0,(IF(AI32&lt;=100000,AI32,100000))))</f>
        <v>0</v>
      </c>
      <c r="AF33" s="139">
        <f t="shared" ref="AF33" si="13">IF(AD32&lt;=0,0,IF(AI33&lt;=0,0,(IF(AD32+AI33&lt;=100000,0,IF(AI33&lt;=100000,AI33,100000)))))</f>
        <v>0</v>
      </c>
      <c r="AG33" s="41">
        <f>IF(AD32-AF33&lt;=0,0,AD32-AF33)</f>
        <v>0</v>
      </c>
      <c r="AH33" s="99">
        <f>IF(N32&lt;=1100000,0,IF(N32&lt;=3299999,N32-1100000,IF(N32&lt;=4099999,N32*0.75-275000,IF(N32&lt;=7699999,N32*0.85-685000,IF(N32&lt;=9999999,N32*0.95-1455000, IF(N32&gt;=10000000,N32-1955000))))))</f>
        <v>0</v>
      </c>
      <c r="AI33" s="42">
        <f>IF(F32&lt;=64,AH32,IF(AH33-150000&lt;=0,0,AH33-150000))</f>
        <v>0</v>
      </c>
      <c r="AJ33" s="233"/>
      <c r="AK33" s="42">
        <f>AG32+AI33+AJ32</f>
        <v>0</v>
      </c>
      <c r="AL33" s="43">
        <f>IF(AG32+AI33+AJ32&gt;0,AK33,0)</f>
        <v>0</v>
      </c>
      <c r="AM33" s="289"/>
      <c r="AN33" s="232"/>
      <c r="AO33" s="233"/>
      <c r="AP33" s="39"/>
      <c r="AR33" s="157"/>
      <c r="AS33" s="155"/>
      <c r="AT33" s="160"/>
      <c r="AW33" s="287"/>
      <c r="AX33" s="287"/>
      <c r="AY33" s="287"/>
      <c r="BA33" s="157"/>
      <c r="BB33" s="155"/>
      <c r="BC33" s="155"/>
    </row>
    <row r="34" spans="1:55" ht="13.5" customHeight="1" thickBot="1" x14ac:dyDescent="0.3">
      <c r="A34" s="75"/>
      <c r="B34" s="75"/>
      <c r="C34" s="225" t="s">
        <v>49</v>
      </c>
      <c r="D34" s="226"/>
      <c r="E34" s="227"/>
      <c r="F34" s="209"/>
      <c r="G34" s="209"/>
      <c r="H34" s="166" t="s">
        <v>24</v>
      </c>
      <c r="I34" s="203"/>
      <c r="J34" s="204"/>
      <c r="K34" s="204"/>
      <c r="L34" s="205"/>
      <c r="M34" s="164" t="s">
        <v>0</v>
      </c>
      <c r="N34" s="189"/>
      <c r="O34" s="190"/>
      <c r="P34" s="190"/>
      <c r="Q34" s="190"/>
      <c r="R34" s="164" t="s">
        <v>0</v>
      </c>
      <c r="S34" s="189"/>
      <c r="T34" s="190"/>
      <c r="U34" s="190"/>
      <c r="V34" s="190"/>
      <c r="W34" s="164" t="s">
        <v>0</v>
      </c>
      <c r="X34" s="101"/>
      <c r="Y34" s="102"/>
      <c r="Z34" s="33"/>
      <c r="AA34" s="34"/>
      <c r="AB34" s="35"/>
      <c r="AC34" s="156" t="s">
        <v>9</v>
      </c>
      <c r="AD34" s="36">
        <f>IF(I34&lt;=650999,0,IF(I34&lt;=1900000,I34-650000,(IF(I34&lt;=3599999,ROUNDDOWN(I34/4,-3)*4*0.7-80000,IF(I34&lt;=6599999,ROUNDDOWN(I34/4,-3)*4*0.8-440000,IF(I34&lt;=8499999,I34*0.9-1100000,I34-1950000))))))</f>
        <v>0</v>
      </c>
      <c r="AE34" s="36">
        <f>IF(AD34&lt;=0,0,IF(AI34&lt;=0,0,(IF(AD34&lt;=100000,AD34,100000))))</f>
        <v>0</v>
      </c>
      <c r="AF34" s="36">
        <f t="shared" ref="AF34" si="14">IF(AI35&lt;=0,0,IF(AI35&lt;=0,0,(IF(AD34&lt;=100000,AD34,100000))))</f>
        <v>0</v>
      </c>
      <c r="AG34" s="37">
        <f>AD34-AD35</f>
        <v>0</v>
      </c>
      <c r="AH34" s="36">
        <f>IF(N34&lt;=600000,0,IF(N34&lt;=1299999,N34-600000,IF(N34&lt;=4099999,N34*0.75-275000,IF(N34&lt;=7699999,N34*0.85-685000,IF(N34&lt;=9999999,N34*0.95-1455000, IF(N34&gt;=10000000,N34-1955000))))))</f>
        <v>0</v>
      </c>
      <c r="AI34" s="98">
        <f>IF(F34&lt;=64,AH34,AH35)</f>
        <v>0</v>
      </c>
      <c r="AJ34" s="233">
        <f>S34</f>
        <v>0</v>
      </c>
      <c r="AK34" s="38">
        <f>AG34+AI34+AJ34</f>
        <v>0</v>
      </c>
      <c r="AL34" s="38">
        <f>IF(AG34+AI34+AJ34&gt;0,AK34,0)</f>
        <v>0</v>
      </c>
      <c r="AM34" s="288">
        <f>IF(AK34&lt;=24000000, 430000, IF(AK34&lt;=24500000, 290000, IF(AK34&lt;=25000000, 150000, 0)))</f>
        <v>430000</v>
      </c>
      <c r="AN34" s="231" t="str">
        <f t="shared" ref="AN34" si="15">IF((AK34-AM34)&lt;0,"",(AK34-AM34))</f>
        <v/>
      </c>
      <c r="AO34" s="233">
        <f>IF(I34&gt;550000, 1, IF(AI35&gt;0, 1, 0))</f>
        <v>0</v>
      </c>
      <c r="AP34" s="39"/>
      <c r="AR34" s="156" t="s">
        <v>9</v>
      </c>
      <c r="AS34" s="154" t="str">
        <f>IF(AND(F34&gt;=40,F34&lt;=64),(AN34),"")</f>
        <v/>
      </c>
      <c r="AT34" s="160">
        <f>IF(F34&lt;40,0,IF(F34&lt;=64,1,IF(F34&gt;65,0,)))</f>
        <v>0</v>
      </c>
      <c r="AW34" s="287" t="s">
        <v>95</v>
      </c>
      <c r="AX34" s="287" t="str">
        <f>IF(AND(F34&gt;=0,F34&lt;=6),(AN34),"")</f>
        <v/>
      </c>
      <c r="AY34" s="287" t="str">
        <f>IF(F34="","",IF(F34&gt;=7,0,IF(AND(F34&lt;=6,F34&gt;=0),1,0)))</f>
        <v/>
      </c>
      <c r="BA34" s="156" t="s">
        <v>9</v>
      </c>
      <c r="BB34" s="154" t="str">
        <f t="shared" ref="BB34" si="16">IF(AND(F34&gt;=0,F34&gt;=18),(AN34),"")</f>
        <v/>
      </c>
      <c r="BC34" s="154" t="str">
        <f t="shared" ref="BC34" si="17">IF(F34="","",IF(F34&lt;=18,0,IF(AND(F34&gt;=17,F34&gt;=0),1,0)))</f>
        <v/>
      </c>
    </row>
    <row r="35" spans="1:55" ht="13.5" customHeight="1" thickBot="1" x14ac:dyDescent="0.3">
      <c r="A35" s="75"/>
      <c r="B35" s="75"/>
      <c r="C35" s="228"/>
      <c r="D35" s="229"/>
      <c r="E35" s="230"/>
      <c r="F35" s="209"/>
      <c r="G35" s="209"/>
      <c r="H35" s="166"/>
      <c r="I35" s="206"/>
      <c r="J35" s="207"/>
      <c r="K35" s="207"/>
      <c r="L35" s="208"/>
      <c r="M35" s="164"/>
      <c r="N35" s="190"/>
      <c r="O35" s="190"/>
      <c r="P35" s="190"/>
      <c r="Q35" s="190"/>
      <c r="R35" s="164"/>
      <c r="S35" s="190"/>
      <c r="T35" s="190"/>
      <c r="U35" s="190"/>
      <c r="V35" s="190"/>
      <c r="W35" s="164"/>
      <c r="X35" s="103"/>
      <c r="Y35" s="102"/>
      <c r="Z35" s="33"/>
      <c r="AA35" s="34"/>
      <c r="AB35" s="35"/>
      <c r="AC35" s="157"/>
      <c r="AD35" s="99">
        <f>IF((AE34+AE35-100000)&lt;=0, 0, (AE34+AE35-100000))</f>
        <v>0</v>
      </c>
      <c r="AE35" s="99">
        <f>IF(AD34&lt;=0,0,IF(AI34&lt;=0,0,(IF(AI34&lt;=100000,AI34,100000))))</f>
        <v>0</v>
      </c>
      <c r="AF35" s="139">
        <f t="shared" ref="AF35" si="18">IF(AD34&lt;=0,0,IF(AI35&lt;=0,0,(IF(AD34+AI35&lt;=100000,0,IF(AI35&lt;=100000,AI35,100000)))))</f>
        <v>0</v>
      </c>
      <c r="AG35" s="41">
        <f>IF(AD34-AF35&lt;=0,0,AD34-AF35)</f>
        <v>0</v>
      </c>
      <c r="AH35" s="99">
        <f>IF(N34&lt;=1100000,0,IF(N34&lt;=3299999,N34-1100000,IF(N34&lt;=4099999,N34*0.75-275000,IF(N34&lt;=7699999,N34*0.85-685000,IF(N34&lt;=9999999,N34*0.95-1455000, IF(N34&gt;=10000000,N34-1955000))))))</f>
        <v>0</v>
      </c>
      <c r="AI35" s="42">
        <f>IF(F34&lt;=64,AH34,IF(AH35-150000&lt;=0,0,AH35-150000))</f>
        <v>0</v>
      </c>
      <c r="AJ35" s="233"/>
      <c r="AK35" s="42">
        <f>AG34+AI35+AJ34</f>
        <v>0</v>
      </c>
      <c r="AL35" s="43">
        <f>IF(AG34+AI35+AJ34&gt;0,AK35,0)</f>
        <v>0</v>
      </c>
      <c r="AM35" s="289"/>
      <c r="AN35" s="232"/>
      <c r="AO35" s="233"/>
      <c r="AP35" s="39"/>
      <c r="AR35" s="157"/>
      <c r="AS35" s="155"/>
      <c r="AT35" s="160"/>
      <c r="AW35" s="287"/>
      <c r="AX35" s="287"/>
      <c r="AY35" s="287"/>
      <c r="BA35" s="157"/>
      <c r="BB35" s="155"/>
      <c r="BC35" s="155"/>
    </row>
    <row r="36" spans="1:55" ht="13.5" customHeight="1" thickBot="1" x14ac:dyDescent="0.3">
      <c r="A36" s="75"/>
      <c r="B36" s="75"/>
      <c r="C36" s="225" t="s">
        <v>50</v>
      </c>
      <c r="D36" s="226"/>
      <c r="E36" s="227"/>
      <c r="F36" s="209"/>
      <c r="G36" s="209"/>
      <c r="H36" s="166" t="s">
        <v>24</v>
      </c>
      <c r="I36" s="203"/>
      <c r="J36" s="204"/>
      <c r="K36" s="204"/>
      <c r="L36" s="205"/>
      <c r="M36" s="164" t="s">
        <v>0</v>
      </c>
      <c r="N36" s="189"/>
      <c r="O36" s="190"/>
      <c r="P36" s="190"/>
      <c r="Q36" s="190"/>
      <c r="R36" s="164" t="s">
        <v>0</v>
      </c>
      <c r="S36" s="189"/>
      <c r="T36" s="190"/>
      <c r="U36" s="190"/>
      <c r="V36" s="190"/>
      <c r="W36" s="164" t="s">
        <v>0</v>
      </c>
      <c r="X36" s="101"/>
      <c r="Y36" s="102"/>
      <c r="Z36" s="33"/>
      <c r="AA36" s="34"/>
      <c r="AB36" s="35"/>
      <c r="AC36" s="156" t="s">
        <v>10</v>
      </c>
      <c r="AD36" s="36">
        <f>IF(I36&lt;=650999,0,IF(I36&lt;=1900000,I36-650000,(IF(I36&lt;=3599999,ROUNDDOWN(I36/4,-3)*4*0.7-80000,IF(I36&lt;=6599999,ROUNDDOWN(I36/4,-3)*4*0.8-440000,IF(I36&lt;=8499999,I36*0.9-1100000,I36-1950000))))))</f>
        <v>0</v>
      </c>
      <c r="AE36" s="36">
        <f>IF(AD36&lt;=0,0,IF(AI36&lt;=0,0,(IF(AD36&lt;=100000,AD36,100000))))</f>
        <v>0</v>
      </c>
      <c r="AF36" s="36">
        <f t="shared" ref="AF36" si="19">IF(AI37&lt;=0,0,IF(AI37&lt;=0,0,(IF(AD36&lt;=100000,AD36,100000))))</f>
        <v>0</v>
      </c>
      <c r="AG36" s="37">
        <f>AD36-AD37</f>
        <v>0</v>
      </c>
      <c r="AH36" s="36">
        <f>IF(N36&lt;=600000,0,IF(N36&lt;=1299999,N36-600000,IF(N36&lt;=4099999,N36*0.75-275000,IF(N36&lt;=7699999,N36*0.85-685000,IF(N36&lt;=9999999,N36*0.95-1455000, IF(N36&gt;=10000000,N36-1955000))))))</f>
        <v>0</v>
      </c>
      <c r="AI36" s="98">
        <f>IF(F36&lt;=64,AH36,AH37)</f>
        <v>0</v>
      </c>
      <c r="AJ36" s="233">
        <f>S36</f>
        <v>0</v>
      </c>
      <c r="AK36" s="38">
        <f>AG36+AI36+AJ36</f>
        <v>0</v>
      </c>
      <c r="AL36" s="38">
        <f>IF(AG36+AI36+AJ36&gt;0,AK36,0)</f>
        <v>0</v>
      </c>
      <c r="AM36" s="288">
        <f>IF(AK36&lt;=24000000, 430000, IF(AK36&lt;=24500000, 290000, IF(AK36&lt;=25000000, 150000, 0)))</f>
        <v>430000</v>
      </c>
      <c r="AN36" s="231" t="str">
        <f t="shared" ref="AN36" si="20">IF((AK36-AM36)&lt;0,"",(AK36-AM36))</f>
        <v/>
      </c>
      <c r="AO36" s="233">
        <f>IF(I36&gt;550000, 1, IF(AI37&gt;0, 1, 0))</f>
        <v>0</v>
      </c>
      <c r="AP36" s="39"/>
      <c r="AR36" s="153" t="s">
        <v>10</v>
      </c>
      <c r="AS36" s="154" t="str">
        <f>IF(AND(F36&gt;=40,F36&lt;=64),(AN36),"")</f>
        <v/>
      </c>
      <c r="AT36" s="160">
        <f>IF(F36&lt;40,0,IF(F36&lt;=64,1,IF(F36&gt;65,0,)))</f>
        <v>0</v>
      </c>
      <c r="AW36" s="287" t="s">
        <v>96</v>
      </c>
      <c r="AX36" s="287" t="str">
        <f>IF(AND(F36&gt;=0,F36&lt;=6),(AN36),"")</f>
        <v/>
      </c>
      <c r="AY36" s="287" t="str">
        <f>IF(F36="","",IF(F36&gt;=7,0,IF(AND(F36&lt;=6,F36&gt;=0),1,0)))</f>
        <v/>
      </c>
      <c r="BA36" s="153" t="s">
        <v>10</v>
      </c>
      <c r="BB36" s="154" t="str">
        <f t="shared" ref="BB36" si="21">IF(AND(F36&gt;=0,F36&gt;=18),(AN36),"")</f>
        <v/>
      </c>
      <c r="BC36" s="154" t="str">
        <f t="shared" ref="BC36" si="22">IF(F36="","",IF(F36&lt;=18,0,IF(AND(F36&gt;=17,F36&gt;=0),1,0)))</f>
        <v/>
      </c>
    </row>
    <row r="37" spans="1:55" ht="13.5" customHeight="1" thickBot="1" x14ac:dyDescent="0.3">
      <c r="A37" s="75"/>
      <c r="B37" s="75"/>
      <c r="C37" s="228"/>
      <c r="D37" s="229"/>
      <c r="E37" s="230"/>
      <c r="F37" s="209"/>
      <c r="G37" s="209"/>
      <c r="H37" s="166"/>
      <c r="I37" s="206"/>
      <c r="J37" s="207"/>
      <c r="K37" s="207"/>
      <c r="L37" s="208"/>
      <c r="M37" s="164"/>
      <c r="N37" s="190"/>
      <c r="O37" s="190"/>
      <c r="P37" s="190"/>
      <c r="Q37" s="190"/>
      <c r="R37" s="164"/>
      <c r="S37" s="190"/>
      <c r="T37" s="190"/>
      <c r="U37" s="190"/>
      <c r="V37" s="190"/>
      <c r="W37" s="164"/>
      <c r="X37" s="103"/>
      <c r="Y37" s="102"/>
      <c r="Z37" s="33"/>
      <c r="AA37" s="34"/>
      <c r="AB37" s="46"/>
      <c r="AC37" s="157"/>
      <c r="AD37" s="99">
        <f>IF((AE36+AE37-100000)&lt;=0, 0, (AE36+AE37-100000))</f>
        <v>0</v>
      </c>
      <c r="AE37" s="99">
        <f>IF(AD36&lt;=0,0,IF(AI36&lt;=0,0,(IF(AI36&lt;=100000,AI36,100000))))</f>
        <v>0</v>
      </c>
      <c r="AF37" s="139">
        <f t="shared" ref="AF37" si="23">IF(AD36&lt;=0,0,IF(AI37&lt;=0,0,(IF(AD36+AI37&lt;=100000,0,IF(AI37&lt;=100000,AI37,100000)))))</f>
        <v>0</v>
      </c>
      <c r="AG37" s="41">
        <f>IF(AD36-AF37&lt;=0,0,AD36-AF37)</f>
        <v>0</v>
      </c>
      <c r="AH37" s="99">
        <f>IF(N36&lt;=1100000,0,IF(N36&lt;=3299999,N36-1100000,IF(N36&lt;=4099999,N36*0.75-275000,IF(N36&lt;=7699999,N36*0.85-685000,IF(N36&lt;=9999999,N36*0.95-1455000, IF(N36&gt;=10000000,N36-1955000))))))</f>
        <v>0</v>
      </c>
      <c r="AI37" s="42">
        <f>IF(F36&lt;=64,AH36,IF(AH37-150000&lt;=0,0,AH37-150000))</f>
        <v>0</v>
      </c>
      <c r="AJ37" s="233"/>
      <c r="AK37" s="42">
        <f>AG36+AI37+AJ36</f>
        <v>0</v>
      </c>
      <c r="AL37" s="43">
        <f>IF(AG36+AI37+AJ36&gt;0,AK37,0)</f>
        <v>0</v>
      </c>
      <c r="AM37" s="289"/>
      <c r="AN37" s="232"/>
      <c r="AO37" s="233"/>
      <c r="AP37" s="39"/>
      <c r="AR37" s="153"/>
      <c r="AS37" s="155"/>
      <c r="AT37" s="160"/>
      <c r="AW37" s="287"/>
      <c r="AX37" s="287"/>
      <c r="AY37" s="287"/>
      <c r="BA37" s="153"/>
      <c r="BB37" s="155"/>
      <c r="BC37" s="155"/>
    </row>
    <row r="38" spans="1:55" ht="13.5" customHeight="1" thickBot="1" x14ac:dyDescent="0.3">
      <c r="A38" s="75"/>
      <c r="B38" s="75"/>
      <c r="C38" s="237" t="s">
        <v>51</v>
      </c>
      <c r="D38" s="238"/>
      <c r="E38" s="239"/>
      <c r="F38" s="252"/>
      <c r="G38" s="252"/>
      <c r="H38" s="166" t="s">
        <v>24</v>
      </c>
      <c r="I38" s="203"/>
      <c r="J38" s="204"/>
      <c r="K38" s="204"/>
      <c r="L38" s="205"/>
      <c r="M38" s="164" t="s">
        <v>0</v>
      </c>
      <c r="N38" s="189"/>
      <c r="O38" s="190"/>
      <c r="P38" s="190"/>
      <c r="Q38" s="190"/>
      <c r="R38" s="164" t="s">
        <v>0</v>
      </c>
      <c r="S38" s="189"/>
      <c r="T38" s="190"/>
      <c r="U38" s="190"/>
      <c r="V38" s="190"/>
      <c r="W38" s="164" t="s">
        <v>0</v>
      </c>
      <c r="X38" s="101"/>
      <c r="Y38" s="102"/>
      <c r="Z38" s="33"/>
      <c r="AA38" s="34"/>
      <c r="AB38" s="35"/>
      <c r="AC38" s="156" t="s">
        <v>25</v>
      </c>
      <c r="AD38" s="36">
        <f>IF(I38&lt;=650999,0,IF(I38&lt;=1900000,I38-650000,(IF(I38&lt;=3599999,ROUNDDOWN(I38/4,-3)*4*0.7-80000,IF(I38&lt;=6599999,ROUNDDOWN(I38/4,-3)*4*0.8-440000,IF(I38&lt;=8499999,I38*0.9-1100000,I38-1950000))))))</f>
        <v>0</v>
      </c>
      <c r="AE38" s="36">
        <f>IF(AD38&lt;=0,0,IF(AI38&lt;=0,0,(IF(AD38&lt;=100000,AD38,100000))))</f>
        <v>0</v>
      </c>
      <c r="AF38" s="36">
        <f t="shared" ref="AF38" si="24">IF(AI39&lt;=0,0,IF(AI39&lt;=0,0,(IF(AD38&lt;=100000,AD38,100000))))</f>
        <v>0</v>
      </c>
      <c r="AG38" s="37">
        <f>AD38-AD39</f>
        <v>0</v>
      </c>
      <c r="AH38" s="36">
        <f>IF(N38&lt;=600000,0,IF(N38&lt;=1299999,N38-600000,IF(N38&lt;=4099999,N38*0.75-275000,IF(N38&lt;=7699999,N38*0.85-685000,IF(N38&lt;=9999999,N38*0.95-1455000, IF(N38&gt;=10000000,N38-1955000))))))</f>
        <v>0</v>
      </c>
      <c r="AI38" s="98">
        <f>IF(F38&lt;=64,AH38,AH39)</f>
        <v>0</v>
      </c>
      <c r="AJ38" s="233">
        <f>S38</f>
        <v>0</v>
      </c>
      <c r="AK38" s="38">
        <f>AG38+AI38+AJ38</f>
        <v>0</v>
      </c>
      <c r="AL38" s="38">
        <f>IF(AG38+AI38+AJ38&gt;0,AK38,0)</f>
        <v>0</v>
      </c>
      <c r="AM38" s="288">
        <f>IF(AK38&lt;=24000000, 430000, IF(AK38&lt;=24500000, 290000, IF(AK38&lt;=25000000, 150000, 0)))</f>
        <v>430000</v>
      </c>
      <c r="AN38" s="231" t="str">
        <f t="shared" ref="AN38" si="25">IF((AK38-AM38)&lt;0,"",(AK38-AM38))</f>
        <v/>
      </c>
      <c r="AO38" s="233">
        <f>IF(I38&gt;550000, 1, IF(AI39&gt;0, 1, 0))</f>
        <v>0</v>
      </c>
      <c r="AP38" s="39"/>
      <c r="AR38" s="153" t="s">
        <v>25</v>
      </c>
      <c r="AS38" s="154" t="str">
        <f>IF(AND(F38&gt;=40,F38&lt;=64),(AN38),"")</f>
        <v/>
      </c>
      <c r="AT38" s="160">
        <f>IF(F38&lt;40,0,IF(F38&lt;=64,1,IF(F38&gt;65,0,)))</f>
        <v>0</v>
      </c>
      <c r="AW38" s="287" t="s">
        <v>97</v>
      </c>
      <c r="AX38" s="287" t="str">
        <f>IF(AND(F38&gt;=0,F38&lt;=6),(AN38),"")</f>
        <v/>
      </c>
      <c r="AY38" s="287" t="str">
        <f>IF(F38="","",IF(F38&gt;=7,0,IF(AND(F38&lt;=6,F38&gt;=0),1,0)))</f>
        <v/>
      </c>
      <c r="BA38" s="153" t="s">
        <v>25</v>
      </c>
      <c r="BB38" s="154" t="str">
        <f t="shared" ref="BB38" si="26">IF(AND(F38&gt;=0,F38&gt;=18),(AN38),"")</f>
        <v/>
      </c>
      <c r="BC38" s="154" t="str">
        <f t="shared" ref="BC38" si="27">IF(F38="","",IF(F38&lt;=18,0,IF(AND(F38&gt;=17,F38&gt;=0),1,0)))</f>
        <v/>
      </c>
    </row>
    <row r="39" spans="1:55" ht="13.5" customHeight="1" thickTop="1" thickBot="1" x14ac:dyDescent="0.3">
      <c r="A39" s="75"/>
      <c r="B39" s="75"/>
      <c r="C39" s="240"/>
      <c r="D39" s="241"/>
      <c r="E39" s="242"/>
      <c r="F39" s="253"/>
      <c r="G39" s="253"/>
      <c r="H39" s="167"/>
      <c r="I39" s="279"/>
      <c r="J39" s="280"/>
      <c r="K39" s="280"/>
      <c r="L39" s="281"/>
      <c r="M39" s="165"/>
      <c r="N39" s="191"/>
      <c r="O39" s="191"/>
      <c r="P39" s="191"/>
      <c r="Q39" s="191"/>
      <c r="R39" s="165"/>
      <c r="S39" s="191"/>
      <c r="T39" s="191"/>
      <c r="U39" s="191"/>
      <c r="V39" s="191"/>
      <c r="W39" s="165"/>
      <c r="X39" s="103"/>
      <c r="Y39" s="102"/>
      <c r="Z39" s="33"/>
      <c r="AA39" s="34"/>
      <c r="AB39" s="46"/>
      <c r="AC39" s="157"/>
      <c r="AD39" s="40">
        <f>IF((AE38+AE39-100000)&lt;=0, 0, (AE38+AE39-100000))</f>
        <v>0</v>
      </c>
      <c r="AE39" s="110">
        <f>IF(AD38&lt;=0,0,IF(AI38&lt;=0,0,(IF(AI38&lt;=100000,AI38,100000))))</f>
        <v>0</v>
      </c>
      <c r="AF39" s="139">
        <f t="shared" ref="AF39" si="28">IF(AD38&lt;=0,0,IF(AI39&lt;=0,0,(IF(AD38+AI39&lt;=100000,0,IF(AI39&lt;=100000,AI39,100000)))))</f>
        <v>0</v>
      </c>
      <c r="AG39" s="41">
        <f>IF(AD38-AF39&lt;=0,0,AD38-AF39)</f>
        <v>0</v>
      </c>
      <c r="AH39" s="40">
        <f>IF(N38&lt;=1100000,0,IF(N38&lt;=3299999,N38-1100000,IF(N38&lt;=4099999,N38*0.75-275000,IF(N38&lt;=7699999,N38*0.85-685000,IF(N38&lt;=9999999,N38*0.95-1455000, IF(N38&gt;=10000000,N38-1955000))))))</f>
        <v>0</v>
      </c>
      <c r="AI39" s="42">
        <f>IF(F38&lt;=64,AH38,IF(AH39-150000&lt;=0,0,AH39-150000))</f>
        <v>0</v>
      </c>
      <c r="AJ39" s="233"/>
      <c r="AK39" s="42">
        <f>AG38+AI39+AJ38</f>
        <v>0</v>
      </c>
      <c r="AL39" s="43">
        <f>IF(AG38+AI39+AJ38&gt;0,AK39,0)</f>
        <v>0</v>
      </c>
      <c r="AM39" s="289"/>
      <c r="AN39" s="232"/>
      <c r="AO39" s="233"/>
      <c r="AP39" s="39"/>
      <c r="AR39" s="153"/>
      <c r="AS39" s="155"/>
      <c r="AT39" s="160"/>
      <c r="AW39" s="287"/>
      <c r="AX39" s="287"/>
      <c r="AY39" s="287"/>
      <c r="BA39" s="153"/>
      <c r="BB39" s="155"/>
      <c r="BC39" s="155"/>
    </row>
    <row r="40" spans="1:55" ht="13.5" customHeight="1" thickTop="1" thickBot="1" x14ac:dyDescent="0.3">
      <c r="A40" s="75"/>
      <c r="B40" s="75"/>
      <c r="C40" s="246" t="s">
        <v>127</v>
      </c>
      <c r="D40" s="247"/>
      <c r="E40" s="248"/>
      <c r="F40" s="234"/>
      <c r="G40" s="234"/>
      <c r="H40" s="175" t="s">
        <v>24</v>
      </c>
      <c r="I40" s="276"/>
      <c r="J40" s="277"/>
      <c r="K40" s="277"/>
      <c r="L40" s="278"/>
      <c r="M40" s="235" t="s">
        <v>0</v>
      </c>
      <c r="N40" s="168"/>
      <c r="O40" s="169"/>
      <c r="P40" s="169"/>
      <c r="Q40" s="169"/>
      <c r="R40" s="235" t="s">
        <v>0</v>
      </c>
      <c r="S40" s="168"/>
      <c r="T40" s="169"/>
      <c r="U40" s="169"/>
      <c r="V40" s="169"/>
      <c r="W40" s="235" t="s">
        <v>0</v>
      </c>
      <c r="X40" s="101"/>
      <c r="Y40" s="102"/>
      <c r="Z40" s="33"/>
      <c r="AA40" s="34"/>
      <c r="AB40" s="35"/>
      <c r="AC40" s="156" t="s">
        <v>20</v>
      </c>
      <c r="AD40" s="158"/>
      <c r="AE40" s="47"/>
      <c r="AF40" s="140"/>
      <c r="AG40" s="231">
        <f>SUM(AG26:AG39)</f>
        <v>0</v>
      </c>
      <c r="AH40" s="158"/>
      <c r="AI40" s="44">
        <f>AI26+AI28+AI30+AI32+AI34+AI36+AI38</f>
        <v>0</v>
      </c>
      <c r="AJ40" s="231">
        <f>SUM(AJ26:AJ39)</f>
        <v>0</v>
      </c>
      <c r="AK40" s="44">
        <f>AK26+AK28+AK30+AK32+AK34+AK36+AK38</f>
        <v>0</v>
      </c>
      <c r="AL40" s="44">
        <f>AL26+AL28+AL30+AL32+AL34+AL36+AL38</f>
        <v>0</v>
      </c>
      <c r="AM40" s="290"/>
      <c r="AN40" s="231">
        <f>SUM(AN26:AN39)</f>
        <v>0</v>
      </c>
      <c r="AO40" s="233"/>
      <c r="AP40" s="39"/>
      <c r="AR40" s="26" t="s">
        <v>20</v>
      </c>
      <c r="AS40" s="48">
        <f>SUM(AS26:AS39)</f>
        <v>0</v>
      </c>
      <c r="AT40" s="49">
        <f>SUM(AT26:AT39)</f>
        <v>0</v>
      </c>
      <c r="AW40" s="50" t="s">
        <v>99</v>
      </c>
      <c r="AX40" s="22">
        <f>SUM(AX26:AX39)</f>
        <v>0</v>
      </c>
      <c r="AY40" s="22">
        <f>SUM(AY26:AY39)</f>
        <v>0</v>
      </c>
      <c r="BA40" s="113" t="s">
        <v>20</v>
      </c>
      <c r="BB40" s="111">
        <f>SUM(BB26:BB39)</f>
        <v>0</v>
      </c>
      <c r="BC40" s="112">
        <f>SUM(BC26:BC39)</f>
        <v>0</v>
      </c>
    </row>
    <row r="41" spans="1:55" ht="17.25" customHeight="1" thickTop="1" thickBot="1" x14ac:dyDescent="0.3">
      <c r="A41" s="75"/>
      <c r="B41" s="75"/>
      <c r="C41" s="249" t="s">
        <v>56</v>
      </c>
      <c r="D41" s="250"/>
      <c r="E41" s="251"/>
      <c r="F41" s="234"/>
      <c r="G41" s="234"/>
      <c r="H41" s="167"/>
      <c r="I41" s="276"/>
      <c r="J41" s="277"/>
      <c r="K41" s="277"/>
      <c r="L41" s="278"/>
      <c r="M41" s="236"/>
      <c r="N41" s="174"/>
      <c r="O41" s="174"/>
      <c r="P41" s="174"/>
      <c r="Q41" s="174"/>
      <c r="R41" s="236"/>
      <c r="S41" s="170"/>
      <c r="T41" s="170"/>
      <c r="U41" s="170"/>
      <c r="V41" s="170"/>
      <c r="W41" s="165"/>
      <c r="X41" s="103"/>
      <c r="Y41" s="102"/>
      <c r="Z41" s="33"/>
      <c r="AA41" s="34"/>
      <c r="AB41" s="35"/>
      <c r="AC41" s="157"/>
      <c r="AD41" s="159"/>
      <c r="AE41" s="51"/>
      <c r="AF41" s="141"/>
      <c r="AG41" s="232"/>
      <c r="AH41" s="159"/>
      <c r="AI41" s="40">
        <f>AI27+AI29+AI31+AI33+AI35+AI37+AI39</f>
        <v>0</v>
      </c>
      <c r="AJ41" s="232"/>
      <c r="AK41" s="40">
        <f>AK27+AK29+AK31+AK33+AK35+AK37+AK39</f>
        <v>0</v>
      </c>
      <c r="AL41" s="40">
        <f>AL27+AL29+AL31+AL33+AL35+AL37+AL39</f>
        <v>0</v>
      </c>
      <c r="AM41" s="291"/>
      <c r="AN41" s="232"/>
      <c r="AO41" s="233"/>
      <c r="AP41" s="39"/>
    </row>
    <row r="42" spans="1:55" ht="16.5" customHeight="1" thickTop="1" thickBot="1" x14ac:dyDescent="0.3">
      <c r="A42" s="75"/>
      <c r="B42" s="75"/>
      <c r="C42" s="75"/>
      <c r="D42" s="75"/>
      <c r="E42" s="75"/>
      <c r="F42" s="75"/>
      <c r="G42" s="75"/>
      <c r="H42" s="75"/>
      <c r="I42" s="171" t="s">
        <v>33</v>
      </c>
      <c r="J42" s="172"/>
      <c r="K42" s="172"/>
      <c r="L42" s="172"/>
      <c r="M42" s="172"/>
      <c r="N42" s="172"/>
      <c r="O42" s="173"/>
      <c r="P42" s="188">
        <f>COUNT(F26:G39)</f>
        <v>0</v>
      </c>
      <c r="Q42" s="188"/>
      <c r="R42" s="86" t="s">
        <v>11</v>
      </c>
      <c r="S42" s="75"/>
      <c r="T42" s="75"/>
      <c r="U42" s="75"/>
      <c r="V42" s="75"/>
      <c r="W42" s="75"/>
      <c r="X42" s="75"/>
      <c r="Y42" s="75"/>
      <c r="Z42" s="11"/>
      <c r="AA42" s="11"/>
      <c r="AB42" s="35"/>
      <c r="AC42" s="156" t="s">
        <v>53</v>
      </c>
      <c r="AD42" s="36">
        <f>IF(I40&lt;=650999,0,IF(I40&lt;=1900000,I40-650000,(IF(I40&lt;=3599999,ROUNDDOWN(I40/4,-3)*4*0.7-80000,IF(I40&lt;=6599999,ROUNDDOWN(I40/4,-3)*4*0.8-440000,IF(I40&lt;=8499999,I40*0.9-1100000,I40-1950000))))))</f>
        <v>0</v>
      </c>
      <c r="AE42" s="36">
        <f>IF(AD42&lt;=0,0,IF(AI42&lt;=0,0,(IF(AD42&lt;=100000,AD42,100000))))</f>
        <v>0</v>
      </c>
      <c r="AF42" s="36"/>
      <c r="AG42" s="37">
        <f>AD42-AD43</f>
        <v>0</v>
      </c>
      <c r="AH42" s="36">
        <f>IF(N40&lt;=600000,0,IF(N40&lt;=1299999,N40-600000,IF(N40&lt;=4099999,N40*0.75-275000,IF(N40&lt;=7699999,N40*0.85-685000,IF(N40&lt;=9999999,N40*0.95-1455000, IF(N40&gt;=10000000,N40-1955000))))))</f>
        <v>0</v>
      </c>
      <c r="AI42" s="38">
        <f>IF(F40&lt;=64,AH42,AH43)</f>
        <v>0</v>
      </c>
      <c r="AJ42" s="233">
        <f>S40</f>
        <v>0</v>
      </c>
      <c r="AK42" s="38"/>
      <c r="AL42" s="100"/>
      <c r="AO42" s="233">
        <f>IF(AG42&gt;0, 1, IF(AI43&gt;0, 1, 0))</f>
        <v>0</v>
      </c>
      <c r="AP42" s="39"/>
    </row>
    <row r="43" spans="1:55" ht="16.5" customHeight="1" thickTop="1" thickBot="1" x14ac:dyDescent="0.3">
      <c r="A43" s="75"/>
      <c r="B43" s="75"/>
      <c r="C43" s="75"/>
      <c r="D43" s="75"/>
      <c r="E43" s="75"/>
      <c r="F43" s="75"/>
      <c r="G43" s="75"/>
      <c r="H43" s="75"/>
      <c r="I43" s="171" t="s">
        <v>14</v>
      </c>
      <c r="J43" s="172"/>
      <c r="K43" s="172"/>
      <c r="L43" s="172"/>
      <c r="M43" s="172"/>
      <c r="N43" s="172"/>
      <c r="O43" s="173"/>
      <c r="P43" s="318">
        <f>AT40</f>
        <v>0</v>
      </c>
      <c r="Q43" s="319"/>
      <c r="R43" s="86" t="s">
        <v>11</v>
      </c>
      <c r="S43" s="76" t="s">
        <v>34</v>
      </c>
      <c r="T43" s="75"/>
      <c r="U43" s="75"/>
      <c r="V43" s="75"/>
      <c r="W43" s="75"/>
      <c r="X43" s="75"/>
      <c r="Y43" s="75"/>
      <c r="Z43" s="11"/>
      <c r="AA43" s="11"/>
      <c r="AB43" s="35"/>
      <c r="AC43" s="157"/>
      <c r="AD43" s="40">
        <f>IF((AE42+AE43-100000)&lt;=0, 0, (AE42+AE43-100000))</f>
        <v>0</v>
      </c>
      <c r="AE43" s="40">
        <f>IF(AD42&lt;=0,0,IF(AI42&lt;=0,0,(IF(AI42&lt;=100000,AI42,100000))))</f>
        <v>0</v>
      </c>
      <c r="AF43" s="139"/>
      <c r="AG43" s="41"/>
      <c r="AH43" s="40">
        <f>IF(N40&lt;=1100000,0,IF(N40&lt;=3299999,N40-1100000,IF(N40&lt;=4099999,N40*0.75-275000,IF(N40&lt;=7699999,N40*0.85-685000,IF(N40&lt;=9999999,N40*0.95-1455000, IF(N40&gt;=10000000,N40-1955000))))))</f>
        <v>0</v>
      </c>
      <c r="AI43" s="42">
        <f>IF(F40&lt;=64,AH42,IF(AH43-150000&lt;=0,0,AH43-150000))</f>
        <v>0</v>
      </c>
      <c r="AJ43" s="233"/>
      <c r="AK43" s="42">
        <f>AG42+AI43+AJ42</f>
        <v>0</v>
      </c>
      <c r="AL43" s="43">
        <f>IF(AG42+AI43+AJ42&gt;0,AK43,0)</f>
        <v>0</v>
      </c>
      <c r="AO43" s="233"/>
      <c r="AP43" s="39"/>
    </row>
    <row r="44" spans="1:55" ht="16.5" customHeight="1" thickTop="1" thickBot="1" x14ac:dyDescent="0.3">
      <c r="A44" s="75"/>
      <c r="B44" s="75"/>
      <c r="C44" s="75"/>
      <c r="D44" s="75"/>
      <c r="E44" s="75"/>
      <c r="F44" s="75"/>
      <c r="G44" s="75"/>
      <c r="H44" s="75"/>
      <c r="I44" s="171" t="s">
        <v>134</v>
      </c>
      <c r="J44" s="172"/>
      <c r="K44" s="172"/>
      <c r="L44" s="172"/>
      <c r="M44" s="172"/>
      <c r="N44" s="172"/>
      <c r="O44" s="173"/>
      <c r="P44" s="312">
        <f>BC40</f>
        <v>0</v>
      </c>
      <c r="Q44" s="313"/>
      <c r="R44" s="86" t="s">
        <v>11</v>
      </c>
      <c r="S44" s="76" t="s">
        <v>135</v>
      </c>
      <c r="T44" s="75"/>
      <c r="U44" s="75"/>
      <c r="V44" s="75"/>
      <c r="W44" s="75"/>
      <c r="X44" s="75"/>
      <c r="Y44" s="75"/>
      <c r="Z44" s="11"/>
      <c r="AA44" s="11"/>
      <c r="AB44" s="35"/>
      <c r="AC44" s="119"/>
      <c r="AD44" s="120"/>
      <c r="AE44" s="120"/>
      <c r="AF44" s="120"/>
      <c r="AG44" s="45"/>
      <c r="AH44" s="120"/>
      <c r="AI44" s="45"/>
      <c r="AJ44" s="108"/>
      <c r="AK44" s="45"/>
      <c r="AL44" s="45"/>
      <c r="AO44" s="106"/>
      <c r="AP44" s="39"/>
    </row>
    <row r="45" spans="1:55" ht="16.5" customHeight="1" thickTop="1" thickBot="1" x14ac:dyDescent="0.3">
      <c r="A45" s="75"/>
      <c r="B45" s="75"/>
      <c r="C45" s="75"/>
      <c r="D45" s="75"/>
      <c r="E45" s="75"/>
      <c r="F45" s="75"/>
      <c r="G45" s="75"/>
      <c r="H45" s="75"/>
      <c r="I45" s="192" t="s">
        <v>104</v>
      </c>
      <c r="J45" s="192"/>
      <c r="K45" s="192"/>
      <c r="L45" s="192"/>
      <c r="M45" s="192"/>
      <c r="N45" s="192"/>
      <c r="O45" s="192"/>
      <c r="P45" s="193">
        <f>AY40</f>
        <v>0</v>
      </c>
      <c r="Q45" s="194"/>
      <c r="R45" s="86" t="s">
        <v>11</v>
      </c>
      <c r="S45" s="79" t="s">
        <v>111</v>
      </c>
      <c r="T45" s="75"/>
      <c r="U45" s="75"/>
      <c r="V45" s="75"/>
      <c r="W45" s="75"/>
      <c r="X45" s="75"/>
      <c r="Y45" s="75"/>
      <c r="Z45" s="11"/>
      <c r="AA45" s="11"/>
      <c r="AB45" s="35"/>
      <c r="AC45" s="156" t="s">
        <v>20</v>
      </c>
      <c r="AD45" s="158"/>
      <c r="AE45" s="47"/>
      <c r="AF45" s="140"/>
      <c r="AG45" s="231">
        <f>SUM(AG40:AG43)</f>
        <v>0</v>
      </c>
      <c r="AH45" s="158"/>
      <c r="AI45" s="38"/>
      <c r="AJ45" s="231">
        <f>SUM(AJ40:AJ43)</f>
        <v>0</v>
      </c>
      <c r="AK45" s="44"/>
      <c r="AL45" s="44"/>
      <c r="AO45" s="233">
        <f>SUM(AO26:AO39)+AO42</f>
        <v>0</v>
      </c>
      <c r="AP45" s="39"/>
    </row>
    <row r="46" spans="1:55" ht="14.45" customHeight="1" thickTop="1" thickBot="1" x14ac:dyDescent="0.3">
      <c r="A46" s="75"/>
      <c r="B46" s="75"/>
      <c r="C46" s="75"/>
      <c r="D46" s="75"/>
      <c r="E46" s="75"/>
      <c r="F46" s="75"/>
      <c r="G46" s="75"/>
      <c r="H46" s="75"/>
      <c r="I46" s="272" t="s">
        <v>88</v>
      </c>
      <c r="J46" s="273"/>
      <c r="K46" s="273"/>
      <c r="L46" s="273"/>
      <c r="M46" s="274"/>
      <c r="N46" s="283">
        <f>AN40</f>
        <v>0</v>
      </c>
      <c r="O46" s="284"/>
      <c r="P46" s="284"/>
      <c r="Q46" s="285"/>
      <c r="R46" s="87" t="s">
        <v>0</v>
      </c>
      <c r="S46" s="76"/>
      <c r="T46" s="75"/>
      <c r="U46" s="75"/>
      <c r="V46" s="75"/>
      <c r="W46" s="75"/>
      <c r="X46" s="75"/>
      <c r="Y46" s="75"/>
      <c r="Z46" s="11"/>
      <c r="AA46" s="11"/>
      <c r="AB46" s="35"/>
      <c r="AC46" s="157"/>
      <c r="AD46" s="159"/>
      <c r="AE46" s="51"/>
      <c r="AF46" s="141"/>
      <c r="AG46" s="232"/>
      <c r="AH46" s="159"/>
      <c r="AI46" s="52">
        <f>SUM(AI41:AI43)</f>
        <v>0</v>
      </c>
      <c r="AJ46" s="232"/>
      <c r="AK46" s="53">
        <f>SUM(AK40:AK43)</f>
        <v>0</v>
      </c>
      <c r="AL46" s="53">
        <f>SUM(AL41:AL43)</f>
        <v>0</v>
      </c>
      <c r="AO46" s="233"/>
      <c r="AP46" s="39"/>
    </row>
    <row r="47" spans="1:55" ht="14.45" customHeight="1" thickTop="1" x14ac:dyDescent="0.25">
      <c r="A47" s="75"/>
      <c r="B47" s="75"/>
      <c r="C47" s="75"/>
      <c r="D47" s="75"/>
      <c r="E47" s="75"/>
      <c r="F47" s="75"/>
      <c r="G47" s="75"/>
      <c r="H47" s="75"/>
      <c r="I47" s="79"/>
      <c r="J47" s="79"/>
      <c r="K47" s="79"/>
      <c r="L47" s="79"/>
      <c r="M47" s="79"/>
      <c r="N47" s="79"/>
      <c r="O47" s="79"/>
      <c r="P47" s="79"/>
      <c r="Q47" s="79"/>
      <c r="R47" s="79"/>
      <c r="S47" s="75"/>
      <c r="T47" s="75"/>
      <c r="U47" s="75"/>
      <c r="V47" s="75"/>
      <c r="W47" s="75"/>
      <c r="X47" s="75"/>
      <c r="Y47" s="75"/>
      <c r="Z47" s="11"/>
      <c r="AA47" s="11"/>
      <c r="AB47" s="54"/>
      <c r="AC47" s="55"/>
      <c r="AD47" s="56"/>
      <c r="AE47" s="56"/>
      <c r="AF47" s="56"/>
      <c r="AG47" s="39"/>
      <c r="AH47" s="56"/>
      <c r="AI47" s="57"/>
      <c r="AJ47" s="39"/>
      <c r="AK47" s="57"/>
      <c r="AL47" s="57"/>
      <c r="AO47" s="39"/>
      <c r="AP47" s="39"/>
    </row>
    <row r="48" spans="1:55" ht="23.25" customHeight="1" thickBot="1" x14ac:dyDescent="0.3">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11"/>
      <c r="AA48" s="11"/>
      <c r="AC48" s="60" t="s">
        <v>54</v>
      </c>
      <c r="AD48" s="61">
        <f>COUNT(F40)</f>
        <v>0</v>
      </c>
      <c r="AE48" s="59"/>
      <c r="AF48" s="59"/>
      <c r="AG48" s="57"/>
      <c r="AH48" s="57"/>
    </row>
    <row r="49" spans="1:42" ht="16.5" thickTop="1" thickBot="1" x14ac:dyDescent="0.3">
      <c r="A49" s="75"/>
      <c r="B49" s="75"/>
      <c r="C49" s="161"/>
      <c r="D49" s="161"/>
      <c r="E49" s="161"/>
      <c r="F49" s="202" t="s">
        <v>12</v>
      </c>
      <c r="G49" s="161"/>
      <c r="H49" s="161"/>
      <c r="I49" s="161"/>
      <c r="J49" s="161"/>
      <c r="K49" s="161" t="s">
        <v>128</v>
      </c>
      <c r="L49" s="161"/>
      <c r="M49" s="161"/>
      <c r="N49" s="161"/>
      <c r="O49" s="161"/>
      <c r="P49" s="161" t="s">
        <v>13</v>
      </c>
      <c r="Q49" s="161"/>
      <c r="R49" s="161"/>
      <c r="S49" s="161"/>
      <c r="T49" s="161"/>
      <c r="U49" s="282" t="s">
        <v>153</v>
      </c>
      <c r="V49" s="282"/>
      <c r="W49" s="282"/>
      <c r="X49" s="282"/>
      <c r="Y49" s="282"/>
      <c r="Z49" s="107"/>
      <c r="AA49" s="107"/>
      <c r="AB49" s="107"/>
      <c r="AD49" s="58"/>
      <c r="AE49" s="59"/>
      <c r="AG49" s="134" t="s">
        <v>19</v>
      </c>
      <c r="AI49" s="135" t="s">
        <v>61</v>
      </c>
      <c r="AL49" s="134" t="s">
        <v>80</v>
      </c>
    </row>
    <row r="50" spans="1:42" ht="9.75" customHeight="1" thickTop="1" x14ac:dyDescent="0.25">
      <c r="A50" s="75"/>
      <c r="B50" s="75"/>
      <c r="C50" s="176" t="s">
        <v>35</v>
      </c>
      <c r="D50" s="177"/>
      <c r="E50" s="178"/>
      <c r="F50" s="182">
        <f>ROUNDDOWN(N46*(新税率!B4),0)</f>
        <v>0</v>
      </c>
      <c r="G50" s="183"/>
      <c r="H50" s="183"/>
      <c r="I50" s="184"/>
      <c r="J50" s="198" t="s">
        <v>0</v>
      </c>
      <c r="K50" s="182">
        <f>ROUNDDOWN(N46*(新税率!C4),0)</f>
        <v>0</v>
      </c>
      <c r="L50" s="183"/>
      <c r="M50" s="183"/>
      <c r="N50" s="184"/>
      <c r="O50" s="198" t="s">
        <v>0</v>
      </c>
      <c r="P50" s="182">
        <f>ROUNDDOWN(AS40*(新税率!D4),0)</f>
        <v>0</v>
      </c>
      <c r="Q50" s="183"/>
      <c r="R50" s="183"/>
      <c r="S50" s="184"/>
      <c r="T50" s="198" t="s">
        <v>0</v>
      </c>
      <c r="U50" s="182">
        <f>ROUNDDOWN(BB40*(新税率!E4),0)</f>
        <v>0</v>
      </c>
      <c r="V50" s="183"/>
      <c r="W50" s="183"/>
      <c r="X50" s="184"/>
      <c r="Y50" s="198" t="s">
        <v>0</v>
      </c>
      <c r="Z50" s="107"/>
      <c r="AA50" s="107"/>
      <c r="AB50" s="107"/>
      <c r="AC50" s="308" t="s">
        <v>38</v>
      </c>
      <c r="AG50" s="133"/>
      <c r="AH50" s="135" t="s">
        <v>40</v>
      </c>
      <c r="AI50" s="135"/>
      <c r="AJ50" s="135" t="s">
        <v>44</v>
      </c>
      <c r="AK50" s="137" t="s">
        <v>136</v>
      </c>
      <c r="AL50" s="133"/>
      <c r="AM50" s="130" t="s">
        <v>84</v>
      </c>
      <c r="AN50" s="130" t="s">
        <v>85</v>
      </c>
      <c r="AO50" s="132" t="s">
        <v>137</v>
      </c>
      <c r="AP50" s="306" t="s">
        <v>131</v>
      </c>
    </row>
    <row r="51" spans="1:42" ht="9.75" customHeight="1" thickBot="1" x14ac:dyDescent="0.3">
      <c r="A51" s="75"/>
      <c r="B51" s="75"/>
      <c r="C51" s="179"/>
      <c r="D51" s="180"/>
      <c r="E51" s="181"/>
      <c r="F51" s="185"/>
      <c r="G51" s="186"/>
      <c r="H51" s="186"/>
      <c r="I51" s="187"/>
      <c r="J51" s="199"/>
      <c r="K51" s="185"/>
      <c r="L51" s="186"/>
      <c r="M51" s="186"/>
      <c r="N51" s="187"/>
      <c r="O51" s="199"/>
      <c r="P51" s="185"/>
      <c r="Q51" s="186"/>
      <c r="R51" s="186"/>
      <c r="S51" s="187"/>
      <c r="T51" s="199"/>
      <c r="U51" s="185"/>
      <c r="V51" s="186"/>
      <c r="W51" s="186"/>
      <c r="X51" s="187"/>
      <c r="Y51" s="199"/>
      <c r="Z51" s="107"/>
      <c r="AA51" s="107"/>
      <c r="AB51" s="107"/>
      <c r="AC51" s="309"/>
      <c r="AG51" s="62"/>
      <c r="AH51" s="136"/>
      <c r="AI51" s="136"/>
      <c r="AJ51" s="136"/>
      <c r="AK51" s="138"/>
      <c r="AL51" s="62"/>
      <c r="AM51" s="131"/>
      <c r="AN51" s="131"/>
      <c r="AO51" s="133"/>
      <c r="AP51" s="307"/>
    </row>
    <row r="52" spans="1:42" ht="18" customHeight="1" thickTop="1" thickBot="1" x14ac:dyDescent="0.3">
      <c r="A52" s="75"/>
      <c r="B52" s="75"/>
      <c r="C52" s="200" t="s">
        <v>36</v>
      </c>
      <c r="D52" s="201"/>
      <c r="E52" s="202"/>
      <c r="F52" s="195">
        <f>P42*(新税率!B5)</f>
        <v>0</v>
      </c>
      <c r="G52" s="196"/>
      <c r="H52" s="196"/>
      <c r="I52" s="197"/>
      <c r="J52" s="88" t="s">
        <v>0</v>
      </c>
      <c r="K52" s="195">
        <f>P42*(新税率!C5)</f>
        <v>0</v>
      </c>
      <c r="L52" s="196"/>
      <c r="M52" s="196"/>
      <c r="N52" s="197"/>
      <c r="O52" s="88" t="s">
        <v>0</v>
      </c>
      <c r="P52" s="195">
        <f>P43*(新税率!D5)</f>
        <v>0</v>
      </c>
      <c r="Q52" s="196"/>
      <c r="R52" s="196"/>
      <c r="S52" s="197"/>
      <c r="T52" s="88" t="s">
        <v>0</v>
      </c>
      <c r="U52" s="195">
        <f>P44*(新税率!E5)</f>
        <v>0</v>
      </c>
      <c r="V52" s="196"/>
      <c r="W52" s="196"/>
      <c r="X52" s="197"/>
      <c r="Y52" s="109" t="s">
        <v>0</v>
      </c>
      <c r="Z52" s="107"/>
      <c r="AA52" s="107"/>
      <c r="AB52" s="107"/>
      <c r="AC52" s="63" t="s">
        <v>22</v>
      </c>
      <c r="AD52" s="63" t="s">
        <v>62</v>
      </c>
      <c r="AE52" s="63" t="s">
        <v>23</v>
      </c>
      <c r="AF52" s="122" t="s">
        <v>140</v>
      </c>
      <c r="AG52" s="64" t="s">
        <v>41</v>
      </c>
      <c r="AH52" s="65">
        <f>IF($AL$46&lt;=430000+IF($AO$45&lt;=1, 0, IF($AO$45&gt;=2,100000*($AO$45-1))),(F52+F53)*0.7,0)</f>
        <v>0</v>
      </c>
      <c r="AI52" s="65">
        <f>IF($AL$46&lt;=430000+IF($AO$45&lt;=1, 0, IF($AO$45&gt;=2,100000*($AO$45-1))),(K52+K53)*0.7,0)</f>
        <v>0</v>
      </c>
      <c r="AJ52" s="65">
        <f>IF($AL$46&lt;=430000+IF($AO$45&lt;=1, 0, IF($AO$45&gt;=2,100000*($AO$45-1))),(P52+P53)*0.7,0)</f>
        <v>0</v>
      </c>
      <c r="AK52" s="65">
        <f>IF($AL$46&lt;=430000+IF($AO$45&lt;=1, 0, IF($AO$45&gt;=2,100000*($AO$45-1))),(U52+U53)*0.7,0)</f>
        <v>0</v>
      </c>
      <c r="AL52" s="66" t="s">
        <v>81</v>
      </c>
      <c r="AM52" s="65">
        <f>IF($AL$46&lt;=430000+IF($AO$45&lt;=1, 0, IF($AO$45&gt;=2,100000*($AO$45-1))),新税率!B17,"")</f>
        <v>3060</v>
      </c>
      <c r="AN52" s="65">
        <f>IF($AL$46&lt;=430000+IF($AO$45&lt;=1, 0, IF($AO$45&gt;=2,100000*($AO$45-1))),新税率!C17,"")</f>
        <v>1260</v>
      </c>
      <c r="AO52" s="65">
        <f>IF($AL$46&lt;=430000+IF($AO$45&lt;=1, 0, IF($AO$45&gt;=2,100000*($AO$45-1))),新税率!D17,"")</f>
        <v>0</v>
      </c>
      <c r="AP52" s="65">
        <f>IF($AL$46&lt;=430000+IF($AO$45&lt;=1, 0, IF($AO$45&gt;=2,100000*($AO$45-1))),新税率!E17,"")</f>
        <v>195</v>
      </c>
    </row>
    <row r="53" spans="1:42" ht="18" customHeight="1" thickTop="1" thickBot="1" x14ac:dyDescent="0.3">
      <c r="A53" s="75"/>
      <c r="B53" s="75"/>
      <c r="C53" s="161" t="s">
        <v>37</v>
      </c>
      <c r="D53" s="161"/>
      <c r="E53" s="161"/>
      <c r="F53" s="197">
        <f>IF(F52=0,0,新税率!B7)</f>
        <v>0</v>
      </c>
      <c r="G53" s="162"/>
      <c r="H53" s="162"/>
      <c r="I53" s="162"/>
      <c r="J53" s="88" t="s">
        <v>0</v>
      </c>
      <c r="K53" s="162">
        <f>IF(K52=0,0,新税率!C7)</f>
        <v>0</v>
      </c>
      <c r="L53" s="162"/>
      <c r="M53" s="162"/>
      <c r="N53" s="162"/>
      <c r="O53" s="88" t="s">
        <v>0</v>
      </c>
      <c r="P53" s="162">
        <f>IF(AT40=0,0,新税率!D7)</f>
        <v>0</v>
      </c>
      <c r="Q53" s="162"/>
      <c r="R53" s="162"/>
      <c r="S53" s="162"/>
      <c r="T53" s="88" t="s">
        <v>0</v>
      </c>
      <c r="U53" s="162">
        <f>IF(BC40=0,0,新税率!E7)</f>
        <v>0</v>
      </c>
      <c r="V53" s="162"/>
      <c r="W53" s="162"/>
      <c r="X53" s="162"/>
      <c r="Y53" s="109" t="s">
        <v>0</v>
      </c>
      <c r="Z53" s="107"/>
      <c r="AA53" s="107"/>
      <c r="AB53" s="107"/>
      <c r="AC53" s="67">
        <f>SUM(F50:I55)</f>
        <v>0</v>
      </c>
      <c r="AD53" s="67">
        <f>SUM(K50:N55)</f>
        <v>0</v>
      </c>
      <c r="AE53" s="67">
        <f>SUM(P50:S55)</f>
        <v>0</v>
      </c>
      <c r="AF53" s="67">
        <f>SUM(U50:X55)</f>
        <v>0</v>
      </c>
      <c r="AG53" s="64" t="s">
        <v>42</v>
      </c>
      <c r="AH53" s="65">
        <f>IF($AL$46&lt;=430000+新税率!B13*$P$42+IF($AO$45&lt;=1, 0, IF($AO$45&gt;=2,100000*($AO$45-1))),(F52+F53)*0.5,0)</f>
        <v>0</v>
      </c>
      <c r="AI53" s="65">
        <f>IF($AL$46&lt;=430000+新税率!B13*$P$42+IF($AO$45&lt;=1, 0, IF($AO$45&gt;=2,100000*($AO$45-1))),(K52+K53)*0.5,0)</f>
        <v>0</v>
      </c>
      <c r="AJ53" s="65">
        <f>IF($AL$46&lt;=430000+新税率!B13*$P$42+IF($AO$45&lt;=1, 0, IF($AO$45&gt;=2,100000*($AO$45-1))),(P52+P53)*0.5,0)</f>
        <v>0</v>
      </c>
      <c r="AK53" s="65">
        <f>IF($AL$46&lt;=430000+新税率!B13*$P$42+IF($AO$45&lt;=1, 0, IF($AO$45&gt;=2,100000*($AO$45-1))),(U52+U53)*0.5,0)</f>
        <v>0</v>
      </c>
      <c r="AL53" s="68" t="s">
        <v>82</v>
      </c>
      <c r="AM53" s="65">
        <f>IF($AL$46&lt;=430000+新税率!B13*$P$42+IF($AO$45&lt;=1, 0, IF($AO$45&gt;=2,100000*($AO$45-1))),新税率!B18,"")</f>
        <v>5100</v>
      </c>
      <c r="AN53" s="65">
        <f>IF($AL$46&lt;=430000+新税率!B13*$P$42+IF($AO$45&lt;=1, 0, IF($AO$45&gt;=2,100000*($AO$45-1))),新税率!C18,"")</f>
        <v>2100</v>
      </c>
      <c r="AO53" s="65">
        <f>IF($AL$46&lt;=430000+新税率!B13*$P$42+IF($AO$45&lt;=1, 0, IF($AO$45&gt;=2,100000*($AO$45-1))),新税率!D18,"")</f>
        <v>0</v>
      </c>
      <c r="AP53" s="65">
        <f>IF($AL$46&lt;=430000+新税率!B13*$P$42+IF($AO$45&lt;=1, 0, IF($AO$45&gt;=2,100000*($AO$45-1))),新税率!E18,"")</f>
        <v>325</v>
      </c>
    </row>
    <row r="54" spans="1:42" ht="18" customHeight="1" thickTop="1" thickBot="1" x14ac:dyDescent="0.3">
      <c r="A54" s="75"/>
      <c r="B54" s="75"/>
      <c r="C54" s="200" t="s">
        <v>57</v>
      </c>
      <c r="D54" s="201"/>
      <c r="E54" s="202"/>
      <c r="F54" s="263">
        <f>AH55*-1</f>
        <v>0</v>
      </c>
      <c r="G54" s="264"/>
      <c r="H54" s="264"/>
      <c r="I54" s="265"/>
      <c r="J54" s="89" t="s">
        <v>0</v>
      </c>
      <c r="K54" s="263">
        <f>AI55*-1</f>
        <v>0</v>
      </c>
      <c r="L54" s="264"/>
      <c r="M54" s="264"/>
      <c r="N54" s="265"/>
      <c r="O54" s="88" t="s">
        <v>0</v>
      </c>
      <c r="P54" s="263">
        <f>AJ55*-1</f>
        <v>0</v>
      </c>
      <c r="Q54" s="264"/>
      <c r="R54" s="264"/>
      <c r="S54" s="265"/>
      <c r="T54" s="90" t="s">
        <v>0</v>
      </c>
      <c r="U54" s="263">
        <f>AK55*-1</f>
        <v>0</v>
      </c>
      <c r="V54" s="264"/>
      <c r="W54" s="264"/>
      <c r="X54" s="265"/>
      <c r="Y54" s="90" t="s">
        <v>0</v>
      </c>
      <c r="Z54" s="117"/>
      <c r="AA54" s="117"/>
      <c r="AB54" s="117"/>
      <c r="AC54" s="69" t="s">
        <v>39</v>
      </c>
      <c r="AE54" s="69"/>
      <c r="AG54" s="64" t="s">
        <v>43</v>
      </c>
      <c r="AH54" s="65">
        <f>IF($AL$46&lt;=430000+新税率!B14*$P$42+IF($AO$45&lt;=1, 0, IF($AO$45&gt;=2,100000*($AO$45-1))),(F52+F53)*0.2,0)</f>
        <v>0</v>
      </c>
      <c r="AI54" s="65">
        <f>IF($AL$46&lt;=430000+新税率!B14*$P$42+IF($AO$45&lt;=1, 0, IF($AO$45&gt;=2,100000*($AO$45-1))),(K52+K53)*0.2,0)</f>
        <v>0</v>
      </c>
      <c r="AJ54" s="65">
        <f>IF($AL$46&lt;=430000+新税率!B14*$P$42+IF($AO$45&lt;=1, 0, IF($AO$45&gt;=2,100000*($AO$45-1))),(P52+P53)*0.2,0)</f>
        <v>0</v>
      </c>
      <c r="AK54" s="65">
        <f>IF($AL$46&lt;=430000+新税率!B14*$P$42+IF($AO$45&lt;=1, 0, IF($AO$45&gt;=2,100000*($AO$45-1))),(U52+U53)*0.2,0)</f>
        <v>0</v>
      </c>
      <c r="AL54" s="68" t="s">
        <v>83</v>
      </c>
      <c r="AM54" s="65">
        <f>IF($AL$46&lt;=430000+新税率!B14*$P$42+IF($AO$45&lt;=1, 0, IF($AO$45&gt;=2,100000*($AO$45-1))),新税率!B19,"")</f>
        <v>8160</v>
      </c>
      <c r="AN54" s="65">
        <f>IF($AL$46&lt;=430000+新税率!B14*$P$42+IF($AO$45&lt;=1, 0, IF($AO$45&gt;=2,100000*($AO$45-1))),新税率!C19,"")</f>
        <v>3360</v>
      </c>
      <c r="AO54" s="65">
        <f>IF($AL$46&lt;=430000+新税率!B14*$P$42+IF($AO$45&lt;=1, 0, IF($AO$45&gt;=2,100000*($AO$45-1))),新税率!D19,"")</f>
        <v>0</v>
      </c>
      <c r="AP54" s="65">
        <f>IF($AL$46&lt;=430000+新税率!B14*$P$42+IF($AO$45&lt;=1, 0, IF($AO$45&gt;=2,100000*($AO$45-1))),新税率!E19,"")</f>
        <v>520</v>
      </c>
    </row>
    <row r="55" spans="1:42" ht="18" customHeight="1" thickTop="1" thickBot="1" x14ac:dyDescent="0.3">
      <c r="A55" s="75"/>
      <c r="B55" s="75"/>
      <c r="C55" s="262" t="s">
        <v>103</v>
      </c>
      <c r="D55" s="262"/>
      <c r="E55" s="262"/>
      <c r="F55" s="197">
        <f>AM56*-1*P45</f>
        <v>0</v>
      </c>
      <c r="G55" s="162"/>
      <c r="H55" s="162"/>
      <c r="I55" s="162"/>
      <c r="J55" s="88" t="s">
        <v>0</v>
      </c>
      <c r="K55" s="162">
        <f>AN56*-1*P45</f>
        <v>0</v>
      </c>
      <c r="L55" s="162"/>
      <c r="M55" s="162"/>
      <c r="N55" s="162"/>
      <c r="O55" s="88" t="s">
        <v>0</v>
      </c>
      <c r="P55" s="162">
        <v>0</v>
      </c>
      <c r="Q55" s="162"/>
      <c r="R55" s="162"/>
      <c r="S55" s="162"/>
      <c r="T55" s="88" t="s">
        <v>0</v>
      </c>
      <c r="U55" s="162">
        <v>0</v>
      </c>
      <c r="V55" s="162"/>
      <c r="W55" s="162"/>
      <c r="X55" s="162"/>
      <c r="Y55" s="109" t="s">
        <v>0</v>
      </c>
      <c r="Z55" s="107"/>
      <c r="AA55" s="107"/>
      <c r="AB55" s="107"/>
      <c r="AC55" s="63" t="s">
        <v>22</v>
      </c>
      <c r="AD55" s="63" t="s">
        <v>62</v>
      </c>
      <c r="AE55" s="63" t="s">
        <v>23</v>
      </c>
      <c r="AF55" s="122" t="s">
        <v>140</v>
      </c>
      <c r="AG55" s="121" t="s">
        <v>45</v>
      </c>
      <c r="AH55" s="70">
        <f>MAX(AH52:AH54)</f>
        <v>0</v>
      </c>
      <c r="AI55" s="70">
        <f>MAX(AI52:AI54)</f>
        <v>0</v>
      </c>
      <c r="AJ55" s="70">
        <f>MAX(AJ52:AJ54)</f>
        <v>0</v>
      </c>
      <c r="AK55" s="70">
        <f>MAX(AK52:AK54)</f>
        <v>0</v>
      </c>
      <c r="AL55" s="68" t="s">
        <v>86</v>
      </c>
      <c r="AM55" s="65" t="str">
        <f>IF($AL$46&gt;430000+535000*$P$42+IF($AO$45&lt;=1, 0, IF($AO$45&gt;=2,100000*($AO$45-1))),新税率!B20,"")</f>
        <v/>
      </c>
      <c r="AN55" s="65" t="str">
        <f>IF($AL$46&gt;430000+535000*$P$42+IF($AO$45&lt;=1, 0, IF($AO$45&gt;=2,100000*($AO$45-1))),新税率!C20,"")</f>
        <v/>
      </c>
      <c r="AO55" s="65" t="str">
        <f>IF($AL$46&gt;430000+535000*$P$42+IF($AO$45&lt;=1, 0, IF($AO$45&gt;=2,100000*($AO$45-1))),新税率!D20,"")</f>
        <v/>
      </c>
      <c r="AP55" s="65" t="str">
        <f>IF($AL$46&gt;430000+535000*$P$42+IF($AO$45&lt;=1, 0, IF($AO$45&gt;=2,100000*($AO$45-1))),新税率!E20,"")</f>
        <v/>
      </c>
    </row>
    <row r="56" spans="1:42" ht="18.75" customHeight="1" thickTop="1" thickBot="1" x14ac:dyDescent="0.3">
      <c r="A56" s="75"/>
      <c r="B56" s="75"/>
      <c r="C56" s="161" t="s">
        <v>101</v>
      </c>
      <c r="D56" s="161"/>
      <c r="E56" s="161"/>
      <c r="F56" s="162">
        <f>IF(AC56&lt;=新税率!B8,AC56,新税率!B8)</f>
        <v>0</v>
      </c>
      <c r="G56" s="162"/>
      <c r="H56" s="162"/>
      <c r="I56" s="162"/>
      <c r="J56" s="88" t="s">
        <v>102</v>
      </c>
      <c r="K56" s="162">
        <f>IF(AD56&lt;=新税率!C8,AD56,新税率!C8)</f>
        <v>0</v>
      </c>
      <c r="L56" s="162"/>
      <c r="M56" s="162"/>
      <c r="N56" s="162"/>
      <c r="O56" s="88" t="s">
        <v>102</v>
      </c>
      <c r="P56" s="163">
        <f>IF(AE56&lt;=新税率!D8,AE56,新税率!D8)</f>
        <v>0</v>
      </c>
      <c r="Q56" s="163"/>
      <c r="R56" s="163"/>
      <c r="S56" s="163"/>
      <c r="T56" s="88" t="s">
        <v>102</v>
      </c>
      <c r="U56" s="163">
        <f>IF(AF56&lt;=新税率!E8,AF56,新税率!E8)</f>
        <v>0</v>
      </c>
      <c r="V56" s="163"/>
      <c r="W56" s="163"/>
      <c r="X56" s="163"/>
      <c r="Y56" s="109" t="s">
        <v>0</v>
      </c>
      <c r="Z56" s="107"/>
      <c r="AA56" s="107"/>
      <c r="AB56" s="107"/>
      <c r="AC56" s="67">
        <f>ROUNDDOWN(AC53,-2)</f>
        <v>0</v>
      </c>
      <c r="AD56" s="67">
        <f>ROUNDDOWN(AD53,-2)</f>
        <v>0</v>
      </c>
      <c r="AE56" s="67">
        <f>ROUNDDOWN(AE53,-2)</f>
        <v>0</v>
      </c>
      <c r="AF56" s="67">
        <f>ROUNDDOWN(AF53,-2)</f>
        <v>0</v>
      </c>
      <c r="AG56" s="72"/>
      <c r="AH56" s="71"/>
      <c r="AI56" s="71"/>
      <c r="AJ56" s="71"/>
      <c r="AK56" s="71"/>
      <c r="AL56" s="73" t="s">
        <v>87</v>
      </c>
      <c r="AM56" s="126">
        <f>MIN(AM52:AM55)</f>
        <v>3060</v>
      </c>
      <c r="AN56" s="126">
        <f>MIN(AN52:AN55)</f>
        <v>1260</v>
      </c>
      <c r="AO56" s="126">
        <f t="shared" ref="AO56:AP56" si="29">MIN(AO52:AO55)</f>
        <v>0</v>
      </c>
      <c r="AP56" s="126">
        <f t="shared" si="29"/>
        <v>195</v>
      </c>
    </row>
    <row r="57" spans="1:42" ht="15.75" thickTop="1" x14ac:dyDescent="0.25">
      <c r="A57" s="75"/>
      <c r="B57" s="75"/>
      <c r="C57" s="75"/>
      <c r="D57" s="75"/>
      <c r="E57" s="75"/>
      <c r="F57" s="91"/>
      <c r="G57" s="91"/>
      <c r="H57" s="91"/>
      <c r="I57" s="92"/>
      <c r="J57" s="92"/>
      <c r="K57" s="92"/>
      <c r="L57" s="92"/>
      <c r="M57" s="14"/>
      <c r="N57" s="92"/>
      <c r="O57" s="92"/>
      <c r="P57" s="92"/>
      <c r="Q57" s="92"/>
      <c r="R57" s="14"/>
      <c r="S57" s="75"/>
      <c r="T57" s="75"/>
      <c r="U57" s="75"/>
      <c r="V57" s="75"/>
      <c r="W57" s="75"/>
      <c r="X57" s="75"/>
      <c r="Y57" s="75"/>
      <c r="Z57" s="11"/>
      <c r="AA57" s="11"/>
    </row>
    <row r="58" spans="1:42" ht="21.75" customHeight="1" x14ac:dyDescent="0.25">
      <c r="A58" s="75"/>
      <c r="B58" s="75"/>
      <c r="C58" s="75"/>
      <c r="D58" s="75"/>
      <c r="E58" s="75"/>
      <c r="F58" s="75"/>
      <c r="G58" s="75"/>
      <c r="H58" s="75"/>
      <c r="I58" s="270"/>
      <c r="J58" s="270"/>
      <c r="K58" s="270"/>
      <c r="L58" s="270"/>
      <c r="M58" s="75"/>
      <c r="N58" s="75"/>
      <c r="O58" s="75"/>
      <c r="P58" s="75"/>
      <c r="Q58" s="75"/>
      <c r="R58" s="75"/>
      <c r="S58" s="75"/>
      <c r="T58" s="75"/>
      <c r="U58" s="75"/>
      <c r="V58" s="75"/>
      <c r="W58" s="75"/>
      <c r="X58" s="75"/>
      <c r="Y58" s="75"/>
      <c r="Z58" s="11"/>
      <c r="AA58" s="11"/>
      <c r="AD58" s="74"/>
    </row>
    <row r="59" spans="1:42" ht="15.6" customHeight="1" thickBot="1" x14ac:dyDescent="0.3">
      <c r="A59" s="75"/>
      <c r="B59" s="75"/>
      <c r="C59" s="75"/>
      <c r="D59" s="75"/>
      <c r="E59" s="75"/>
      <c r="F59" s="275"/>
      <c r="G59" s="275"/>
      <c r="H59" s="275"/>
      <c r="I59" s="93"/>
      <c r="J59" s="93"/>
      <c r="K59" s="93"/>
      <c r="L59" s="93"/>
      <c r="M59" s="93"/>
      <c r="N59" s="93"/>
      <c r="O59" s="93"/>
      <c r="P59" s="93"/>
      <c r="Q59" s="93"/>
      <c r="R59" s="93"/>
      <c r="S59" s="93"/>
      <c r="T59" s="93"/>
      <c r="U59" s="75"/>
      <c r="V59" s="75"/>
      <c r="W59" s="75"/>
      <c r="X59" s="75"/>
      <c r="Y59" s="75"/>
      <c r="Z59" s="11"/>
      <c r="AA59" s="11"/>
      <c r="AC59" s="58"/>
      <c r="AD59" s="59"/>
    </row>
    <row r="60" spans="1:42" ht="18" customHeight="1" thickTop="1" thickBot="1" x14ac:dyDescent="0.3">
      <c r="A60" s="75"/>
      <c r="B60" s="75"/>
      <c r="C60" s="75"/>
      <c r="D60" s="75"/>
      <c r="E60" s="75"/>
      <c r="F60" s="93"/>
      <c r="G60" s="93"/>
      <c r="H60" s="271" t="s">
        <v>65</v>
      </c>
      <c r="I60" s="271"/>
      <c r="J60" s="271"/>
      <c r="K60" s="94"/>
      <c r="L60" s="269">
        <f>F56+P56+K56+U56</f>
        <v>0</v>
      </c>
      <c r="M60" s="267"/>
      <c r="N60" s="267"/>
      <c r="O60" s="268"/>
      <c r="P60" s="95" t="s">
        <v>0</v>
      </c>
      <c r="Q60" s="93" t="s">
        <v>59</v>
      </c>
      <c r="R60" s="93"/>
      <c r="S60" s="93"/>
      <c r="T60" s="93"/>
      <c r="U60" s="75"/>
      <c r="V60" s="75"/>
      <c r="W60" s="75"/>
      <c r="X60" s="75"/>
      <c r="Y60" s="75"/>
      <c r="Z60" s="11"/>
      <c r="AA60" s="11"/>
    </row>
    <row r="61" spans="1:42" ht="18" customHeight="1" thickTop="1" thickBot="1" x14ac:dyDescent="0.3">
      <c r="A61" s="75"/>
      <c r="B61" s="75"/>
      <c r="C61" s="75"/>
      <c r="D61" s="75"/>
      <c r="E61" s="75"/>
      <c r="F61" s="93"/>
      <c r="G61" s="93"/>
      <c r="H61" s="271" t="s">
        <v>26</v>
      </c>
      <c r="I61" s="271"/>
      <c r="J61" s="271"/>
      <c r="K61" s="96"/>
      <c r="L61" s="266">
        <f>L60/12</f>
        <v>0</v>
      </c>
      <c r="M61" s="267"/>
      <c r="N61" s="267"/>
      <c r="O61" s="268"/>
      <c r="P61" s="95" t="s">
        <v>0</v>
      </c>
      <c r="Q61" s="93" t="s">
        <v>59</v>
      </c>
      <c r="R61" s="93"/>
      <c r="S61" s="93"/>
      <c r="T61" s="93"/>
      <c r="U61" s="75"/>
      <c r="V61" s="75"/>
      <c r="W61" s="75"/>
      <c r="X61" s="75"/>
      <c r="Y61" s="75"/>
      <c r="Z61" s="11"/>
      <c r="AA61" s="11"/>
    </row>
    <row r="62" spans="1:42" ht="15.75" thickTop="1" x14ac:dyDescent="0.25">
      <c r="A62" s="75"/>
      <c r="B62" s="75"/>
      <c r="C62" s="75"/>
      <c r="D62" s="75"/>
      <c r="E62" s="75"/>
      <c r="F62" s="93"/>
      <c r="G62" s="93"/>
      <c r="H62" s="93"/>
      <c r="I62" s="93"/>
      <c r="J62" s="93"/>
      <c r="K62" s="93"/>
      <c r="L62" s="93"/>
      <c r="M62" s="93"/>
      <c r="N62" s="93"/>
      <c r="O62" s="93"/>
      <c r="P62" s="93"/>
      <c r="Q62" s="93"/>
      <c r="R62" s="93"/>
      <c r="S62" s="93"/>
      <c r="T62" s="93"/>
      <c r="U62" s="75"/>
      <c r="V62" s="75"/>
      <c r="W62" s="75"/>
      <c r="X62" s="75"/>
      <c r="Y62" s="75"/>
      <c r="Z62" s="11"/>
      <c r="AA62" s="11"/>
    </row>
    <row r="63" spans="1:42"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42"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sheetData>
  <sheetProtection algorithmName="SHA-512" hashValue="mfFQN5mJsQ8AH0zldAa+AyGrKJyUEgo06pwpR+W8ugALh+qOqjMC7/9nzCt5Ab4hc2cZXJ8Z1sthvTkY4ab5Ug==" saltValue="leF0gX53BIz1Vtm9K1fCEg==" spinCount="100000" sheet="1" selectLockedCells="1"/>
  <mergeCells count="269">
    <mergeCell ref="AP50:AP51"/>
    <mergeCell ref="AC50:AC51"/>
    <mergeCell ref="A1:Z1"/>
    <mergeCell ref="A8:Z8"/>
    <mergeCell ref="P44:Q44"/>
    <mergeCell ref="I44:O44"/>
    <mergeCell ref="D9:X9"/>
    <mergeCell ref="N22:R23"/>
    <mergeCell ref="S22:W23"/>
    <mergeCell ref="N26:Q27"/>
    <mergeCell ref="S24:W25"/>
    <mergeCell ref="N28:Q29"/>
    <mergeCell ref="N36:Q37"/>
    <mergeCell ref="I30:L31"/>
    <mergeCell ref="M30:M31"/>
    <mergeCell ref="I43:O43"/>
    <mergeCell ref="P43:Q43"/>
    <mergeCell ref="W36:W37"/>
    <mergeCell ref="C26:E26"/>
    <mergeCell ref="C22:E23"/>
    <mergeCell ref="AT26:AT27"/>
    <mergeCell ref="AT28:AT29"/>
    <mergeCell ref="AC26:AC27"/>
    <mergeCell ref="AC28:AC29"/>
    <mergeCell ref="W32:W33"/>
    <mergeCell ref="S26:V27"/>
    <mergeCell ref="AJ34:AJ35"/>
    <mergeCell ref="I24:M25"/>
    <mergeCell ref="W26:W27"/>
    <mergeCell ref="W34:W35"/>
    <mergeCell ref="AC30:AC31"/>
    <mergeCell ref="AO42:AO43"/>
    <mergeCell ref="AO45:AO46"/>
    <mergeCell ref="AS34:AS35"/>
    <mergeCell ref="AS38:AS39"/>
    <mergeCell ref="AM34:AM35"/>
    <mergeCell ref="AM36:AM37"/>
    <mergeCell ref="AN40:AN41"/>
    <mergeCell ref="AY38:AY39"/>
    <mergeCell ref="C24:E25"/>
    <mergeCell ref="AY30:AY31"/>
    <mergeCell ref="AY32:AY33"/>
    <mergeCell ref="AY34:AY35"/>
    <mergeCell ref="AY36:AY37"/>
    <mergeCell ref="F24:H25"/>
    <mergeCell ref="C34:E35"/>
    <mergeCell ref="AS30:AS31"/>
    <mergeCell ref="AS28:AS29"/>
    <mergeCell ref="AT36:AT37"/>
    <mergeCell ref="AM26:AM27"/>
    <mergeCell ref="AM28:AM29"/>
    <mergeCell ref="AM30:AM31"/>
    <mergeCell ref="AM32:AM33"/>
    <mergeCell ref="AJ26:AJ27"/>
    <mergeCell ref="AJ28:AJ29"/>
    <mergeCell ref="AW28:AW29"/>
    <mergeCell ref="AW30:AW31"/>
    <mergeCell ref="AW32:AW33"/>
    <mergeCell ref="AW34:AW35"/>
    <mergeCell ref="AW36:AW37"/>
    <mergeCell ref="AW38:AW39"/>
    <mergeCell ref="AX26:AX27"/>
    <mergeCell ref="AX28:AX29"/>
    <mergeCell ref="AX30:AX31"/>
    <mergeCell ref="AX32:AX33"/>
    <mergeCell ref="AX34:AX35"/>
    <mergeCell ref="AX36:AX37"/>
    <mergeCell ref="AX38:AX39"/>
    <mergeCell ref="AY26:AY27"/>
    <mergeCell ref="AY28:AY29"/>
    <mergeCell ref="AS26:AS27"/>
    <mergeCell ref="AT32:AT33"/>
    <mergeCell ref="AT34:AT35"/>
    <mergeCell ref="AM38:AM39"/>
    <mergeCell ref="AM40:AM41"/>
    <mergeCell ref="AR38:AR39"/>
    <mergeCell ref="AN38:AN39"/>
    <mergeCell ref="AN36:AN37"/>
    <mergeCell ref="AO40:AO41"/>
    <mergeCell ref="AR26:AR27"/>
    <mergeCell ref="AR28:AR29"/>
    <mergeCell ref="AR30:AR31"/>
    <mergeCell ref="AR32:AR33"/>
    <mergeCell ref="AR34:AR35"/>
    <mergeCell ref="AN32:AN33"/>
    <mergeCell ref="AN26:AN27"/>
    <mergeCell ref="AO26:AO27"/>
    <mergeCell ref="AO28:AO29"/>
    <mergeCell ref="AO30:AO31"/>
    <mergeCell ref="AO32:AO33"/>
    <mergeCell ref="AO34:AO35"/>
    <mergeCell ref="AW26:AW27"/>
    <mergeCell ref="S28:V29"/>
    <mergeCell ref="S30:V31"/>
    <mergeCell ref="S32:V33"/>
    <mergeCell ref="AC36:AC37"/>
    <mergeCell ref="AJ36:AJ37"/>
    <mergeCell ref="S36:V37"/>
    <mergeCell ref="AT38:AT39"/>
    <mergeCell ref="AO38:AO39"/>
    <mergeCell ref="AN28:AN29"/>
    <mergeCell ref="AN30:AN31"/>
    <mergeCell ref="AN34:AN35"/>
    <mergeCell ref="AO36:AO37"/>
    <mergeCell ref="AS32:AS33"/>
    <mergeCell ref="AR36:AR37"/>
    <mergeCell ref="AS36:AS37"/>
    <mergeCell ref="AJ32:AJ33"/>
    <mergeCell ref="W28:W29"/>
    <mergeCell ref="AT30:AT31"/>
    <mergeCell ref="T50:T51"/>
    <mergeCell ref="W38:W39"/>
    <mergeCell ref="P49:T49"/>
    <mergeCell ref="N46:Q46"/>
    <mergeCell ref="P50:S51"/>
    <mergeCell ref="U54:X54"/>
    <mergeCell ref="AC32:AC33"/>
    <mergeCell ref="AC34:AC35"/>
    <mergeCell ref="AJ30:AJ31"/>
    <mergeCell ref="W30:W31"/>
    <mergeCell ref="S34:V35"/>
    <mergeCell ref="N34:Q35"/>
    <mergeCell ref="L61:O61"/>
    <mergeCell ref="L60:O60"/>
    <mergeCell ref="I58:L58"/>
    <mergeCell ref="F55:I55"/>
    <mergeCell ref="H60:J60"/>
    <mergeCell ref="H61:J61"/>
    <mergeCell ref="K55:N55"/>
    <mergeCell ref="AJ38:AJ39"/>
    <mergeCell ref="U55:X55"/>
    <mergeCell ref="U56:X56"/>
    <mergeCell ref="P55:S55"/>
    <mergeCell ref="I46:M46"/>
    <mergeCell ref="P52:S52"/>
    <mergeCell ref="P53:S53"/>
    <mergeCell ref="P54:S54"/>
    <mergeCell ref="F59:H59"/>
    <mergeCell ref="F49:J49"/>
    <mergeCell ref="I40:L41"/>
    <mergeCell ref="I38:L39"/>
    <mergeCell ref="AC38:AC39"/>
    <mergeCell ref="S38:V39"/>
    <mergeCell ref="U49:Y49"/>
    <mergeCell ref="U50:X51"/>
    <mergeCell ref="Y50:Y51"/>
    <mergeCell ref="C55:E55"/>
    <mergeCell ref="C54:E54"/>
    <mergeCell ref="F54:I54"/>
    <mergeCell ref="K54:N54"/>
    <mergeCell ref="K53:N53"/>
    <mergeCell ref="C49:E49"/>
    <mergeCell ref="F52:I52"/>
    <mergeCell ref="F53:I53"/>
    <mergeCell ref="J50:J51"/>
    <mergeCell ref="K50:N51"/>
    <mergeCell ref="C36:E37"/>
    <mergeCell ref="F32:G33"/>
    <mergeCell ref="C32:E33"/>
    <mergeCell ref="C30:E31"/>
    <mergeCell ref="H34:H35"/>
    <mergeCell ref="I36:L37"/>
    <mergeCell ref="M36:M37"/>
    <mergeCell ref="H36:H37"/>
    <mergeCell ref="N24:R25"/>
    <mergeCell ref="H26:H27"/>
    <mergeCell ref="H28:H29"/>
    <mergeCell ref="H30:H31"/>
    <mergeCell ref="F36:G37"/>
    <mergeCell ref="R30:R31"/>
    <mergeCell ref="I34:L35"/>
    <mergeCell ref="M26:M27"/>
    <mergeCell ref="F26:G27"/>
    <mergeCell ref="F28:G29"/>
    <mergeCell ref="H32:H33"/>
    <mergeCell ref="R32:R33"/>
    <mergeCell ref="R36:R37"/>
    <mergeCell ref="N32:Q33"/>
    <mergeCell ref="F30:G31"/>
    <mergeCell ref="M34:M35"/>
    <mergeCell ref="F22:H23"/>
    <mergeCell ref="I22:M23"/>
    <mergeCell ref="C28:E29"/>
    <mergeCell ref="AC45:AC46"/>
    <mergeCell ref="AD45:AD46"/>
    <mergeCell ref="AG45:AG46"/>
    <mergeCell ref="AH45:AH46"/>
    <mergeCell ref="AJ45:AJ46"/>
    <mergeCell ref="AJ42:AJ43"/>
    <mergeCell ref="AG40:AG41"/>
    <mergeCell ref="AH40:AH41"/>
    <mergeCell ref="AJ40:AJ41"/>
    <mergeCell ref="AC42:AC43"/>
    <mergeCell ref="AD40:AD41"/>
    <mergeCell ref="AC40:AC41"/>
    <mergeCell ref="F40:G41"/>
    <mergeCell ref="M40:M41"/>
    <mergeCell ref="R40:R41"/>
    <mergeCell ref="W40:W41"/>
    <mergeCell ref="C38:E39"/>
    <mergeCell ref="C27:E27"/>
    <mergeCell ref="C40:E40"/>
    <mergeCell ref="C41:E41"/>
    <mergeCell ref="F38:G39"/>
    <mergeCell ref="I28:L29"/>
    <mergeCell ref="R28:R29"/>
    <mergeCell ref="F34:G35"/>
    <mergeCell ref="I26:L27"/>
    <mergeCell ref="I32:L33"/>
    <mergeCell ref="M32:M33"/>
    <mergeCell ref="N30:Q31"/>
    <mergeCell ref="R34:R35"/>
    <mergeCell ref="M28:M29"/>
    <mergeCell ref="R26:R27"/>
    <mergeCell ref="C56:E56"/>
    <mergeCell ref="F56:I56"/>
    <mergeCell ref="K56:N56"/>
    <mergeCell ref="P56:S56"/>
    <mergeCell ref="M38:M39"/>
    <mergeCell ref="H38:H39"/>
    <mergeCell ref="S40:V41"/>
    <mergeCell ref="I42:O42"/>
    <mergeCell ref="N40:Q41"/>
    <mergeCell ref="H40:H41"/>
    <mergeCell ref="C50:E51"/>
    <mergeCell ref="F50:I51"/>
    <mergeCell ref="P42:Q42"/>
    <mergeCell ref="N38:Q39"/>
    <mergeCell ref="I45:O45"/>
    <mergeCell ref="P45:Q45"/>
    <mergeCell ref="R38:R39"/>
    <mergeCell ref="K49:O49"/>
    <mergeCell ref="K52:N52"/>
    <mergeCell ref="O50:O51"/>
    <mergeCell ref="U52:X52"/>
    <mergeCell ref="U53:X53"/>
    <mergeCell ref="C52:E52"/>
    <mergeCell ref="C53:E53"/>
    <mergeCell ref="BA26:BA27"/>
    <mergeCell ref="BB26:BB27"/>
    <mergeCell ref="BC26:BC27"/>
    <mergeCell ref="BA28:BA29"/>
    <mergeCell ref="BB28:BB29"/>
    <mergeCell ref="BC28:BC29"/>
    <mergeCell ref="BA30:BA31"/>
    <mergeCell ref="BB30:BB31"/>
    <mergeCell ref="BC30:BC31"/>
    <mergeCell ref="BA38:BA39"/>
    <mergeCell ref="BB38:BB39"/>
    <mergeCell ref="BC38:BC39"/>
    <mergeCell ref="BA32:BA33"/>
    <mergeCell ref="BB32:BB33"/>
    <mergeCell ref="BC32:BC33"/>
    <mergeCell ref="BA34:BA35"/>
    <mergeCell ref="BB34:BB35"/>
    <mergeCell ref="BC34:BC35"/>
    <mergeCell ref="BA36:BA37"/>
    <mergeCell ref="BB36:BB37"/>
    <mergeCell ref="BC36:BC37"/>
    <mergeCell ref="D17:X17"/>
    <mergeCell ref="D18:X18"/>
    <mergeCell ref="D19:X19"/>
    <mergeCell ref="D14:V14"/>
    <mergeCell ref="D11:X11"/>
    <mergeCell ref="D10:X10"/>
    <mergeCell ref="D12:X12"/>
    <mergeCell ref="D13:X13"/>
    <mergeCell ref="D15:X15"/>
    <mergeCell ref="D16:X16"/>
  </mergeCells>
  <phoneticPr fontId="2"/>
  <pageMargins left="0.7" right="0.82" top="0.64" bottom="0.53" header="0.51181102362204722" footer="0.37"/>
  <pageSetup paperSize="9" scale="74" fitToWidth="0" orientation="portrait" r:id="rId1"/>
  <headerFooter alignWithMargins="0"/>
  <rowBreaks count="1" manualBreakCount="1">
    <brk id="4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130" zoomScaleNormal="130" workbookViewId="0">
      <selection activeCell="G4" sqref="G4"/>
    </sheetView>
  </sheetViews>
  <sheetFormatPr defaultRowHeight="13.5" x14ac:dyDescent="0.15"/>
  <cols>
    <col min="1" max="1" width="19.5" style="1" bestFit="1" customWidth="1"/>
    <col min="2" max="16384" width="9" style="1"/>
  </cols>
  <sheetData>
    <row r="1" spans="1:6" x14ac:dyDescent="0.15">
      <c r="A1" s="1" t="s">
        <v>15</v>
      </c>
    </row>
    <row r="2" spans="1:6" x14ac:dyDescent="0.15">
      <c r="A2" s="2"/>
      <c r="B2" s="5" t="s">
        <v>3</v>
      </c>
      <c r="C2" s="5" t="s">
        <v>63</v>
      </c>
      <c r="D2" s="5" t="s">
        <v>4</v>
      </c>
      <c r="E2" s="114" t="s">
        <v>129</v>
      </c>
      <c r="F2" s="116"/>
    </row>
    <row r="3" spans="1:6" x14ac:dyDescent="0.15">
      <c r="A3" s="5" t="s">
        <v>16</v>
      </c>
      <c r="B3" s="2">
        <v>430000</v>
      </c>
      <c r="C3" s="2">
        <v>430000</v>
      </c>
      <c r="D3" s="2">
        <v>430000</v>
      </c>
      <c r="E3" s="9">
        <v>430000</v>
      </c>
    </row>
    <row r="4" spans="1:6" x14ac:dyDescent="0.15">
      <c r="A4" s="5" t="s">
        <v>17</v>
      </c>
      <c r="B4" s="104">
        <v>6.8000000000000005E-2</v>
      </c>
      <c r="C4" s="3">
        <v>2.5000000000000001E-2</v>
      </c>
      <c r="D4" s="104">
        <v>1.7000000000000001E-2</v>
      </c>
      <c r="E4" s="144">
        <v>3.0000000000000001E-3</v>
      </c>
    </row>
    <row r="5" spans="1:6" x14ac:dyDescent="0.15">
      <c r="A5" s="5" t="s">
        <v>1</v>
      </c>
      <c r="B5" s="105">
        <v>20400</v>
      </c>
      <c r="C5" s="2">
        <v>8400</v>
      </c>
      <c r="D5" s="105">
        <v>9000</v>
      </c>
      <c r="E5" s="9">
        <v>1400</v>
      </c>
    </row>
    <row r="6" spans="1:6" x14ac:dyDescent="0.15">
      <c r="A6" s="5" t="s">
        <v>154</v>
      </c>
      <c r="B6" s="105"/>
      <c r="C6" s="2"/>
      <c r="D6" s="105"/>
      <c r="E6" s="9">
        <v>100</v>
      </c>
    </row>
    <row r="7" spans="1:6" x14ac:dyDescent="0.15">
      <c r="A7" s="5" t="s">
        <v>2</v>
      </c>
      <c r="B7" s="105">
        <v>17400</v>
      </c>
      <c r="C7" s="2">
        <v>6600</v>
      </c>
      <c r="D7" s="105">
        <v>4800</v>
      </c>
      <c r="E7" s="9">
        <v>900</v>
      </c>
    </row>
    <row r="8" spans="1:6" x14ac:dyDescent="0.15">
      <c r="A8" s="5" t="s">
        <v>18</v>
      </c>
      <c r="B8" s="9">
        <v>660000</v>
      </c>
      <c r="C8" s="9">
        <v>260000</v>
      </c>
      <c r="D8" s="105">
        <v>170000</v>
      </c>
      <c r="E8" s="9">
        <v>30000</v>
      </c>
    </row>
    <row r="9" spans="1:6" x14ac:dyDescent="0.15">
      <c r="A9" s="5" t="s">
        <v>27</v>
      </c>
      <c r="B9" s="4">
        <v>0.7</v>
      </c>
      <c r="C9" s="4">
        <v>0.7</v>
      </c>
      <c r="D9" s="4">
        <v>0.7</v>
      </c>
      <c r="E9" s="115">
        <v>0.7</v>
      </c>
    </row>
    <row r="10" spans="1:6" x14ac:dyDescent="0.15">
      <c r="A10" s="5" t="s">
        <v>28</v>
      </c>
      <c r="B10" s="4">
        <v>0.5</v>
      </c>
      <c r="C10" s="4">
        <v>0.5</v>
      </c>
      <c r="D10" s="4">
        <v>0.5</v>
      </c>
      <c r="E10" s="115">
        <v>0.5</v>
      </c>
    </row>
    <row r="11" spans="1:6" x14ac:dyDescent="0.15">
      <c r="A11" s="5" t="s">
        <v>29</v>
      </c>
      <c r="B11" s="4">
        <v>0.2</v>
      </c>
      <c r="C11" s="4">
        <v>0.2</v>
      </c>
      <c r="D11" s="4">
        <v>0.2</v>
      </c>
      <c r="E11" s="115">
        <v>0.2</v>
      </c>
    </row>
    <row r="12" spans="1:6" x14ac:dyDescent="0.15">
      <c r="A12" s="5" t="s">
        <v>147</v>
      </c>
      <c r="B12" s="2">
        <v>150000</v>
      </c>
      <c r="C12" s="1" t="s">
        <v>148</v>
      </c>
      <c r="D12" s="142"/>
      <c r="E12" s="143"/>
    </row>
    <row r="13" spans="1:6" x14ac:dyDescent="0.15">
      <c r="A13" s="5" t="s">
        <v>145</v>
      </c>
      <c r="B13" s="9">
        <v>310000</v>
      </c>
      <c r="C13" s="1" t="s">
        <v>149</v>
      </c>
      <c r="D13" s="142"/>
      <c r="E13" s="143"/>
    </row>
    <row r="14" spans="1:6" x14ac:dyDescent="0.15">
      <c r="A14" s="5" t="s">
        <v>146</v>
      </c>
      <c r="B14" s="9">
        <v>570000</v>
      </c>
      <c r="C14" s="1" t="s">
        <v>150</v>
      </c>
      <c r="D14" s="142"/>
      <c r="E14" s="143"/>
    </row>
    <row r="15" spans="1:6" ht="14.25" thickBot="1" x14ac:dyDescent="0.2"/>
    <row r="16" spans="1:6" ht="15" thickTop="1" thickBot="1" x14ac:dyDescent="0.2">
      <c r="A16" s="7" t="s">
        <v>110</v>
      </c>
      <c r="B16" s="8" t="s">
        <v>108</v>
      </c>
      <c r="C16" s="8" t="s">
        <v>109</v>
      </c>
      <c r="D16" s="6" t="s">
        <v>139</v>
      </c>
      <c r="E16" s="10" t="s">
        <v>130</v>
      </c>
    </row>
    <row r="17" spans="1:5" ht="15" thickTop="1" thickBot="1" x14ac:dyDescent="0.2">
      <c r="A17" s="6" t="s">
        <v>105</v>
      </c>
      <c r="B17" s="10">
        <v>3060</v>
      </c>
      <c r="C17" s="10">
        <v>1260</v>
      </c>
      <c r="D17" s="6">
        <v>0</v>
      </c>
      <c r="E17" s="10">
        <v>195</v>
      </c>
    </row>
    <row r="18" spans="1:5" ht="15" thickTop="1" thickBot="1" x14ac:dyDescent="0.2">
      <c r="A18" s="6" t="s">
        <v>106</v>
      </c>
      <c r="B18" s="10">
        <v>5100</v>
      </c>
      <c r="C18" s="10">
        <v>2100</v>
      </c>
      <c r="D18" s="6">
        <v>0</v>
      </c>
      <c r="E18" s="10">
        <v>325</v>
      </c>
    </row>
    <row r="19" spans="1:5" ht="15" thickTop="1" thickBot="1" x14ac:dyDescent="0.2">
      <c r="A19" s="6" t="s">
        <v>29</v>
      </c>
      <c r="B19" s="10">
        <v>8160</v>
      </c>
      <c r="C19" s="10">
        <v>3360</v>
      </c>
      <c r="D19" s="6">
        <v>0</v>
      </c>
      <c r="E19" s="10">
        <v>520</v>
      </c>
    </row>
    <row r="20" spans="1:5" ht="15" thickTop="1" thickBot="1" x14ac:dyDescent="0.2">
      <c r="A20" s="6" t="s">
        <v>107</v>
      </c>
      <c r="B20" s="10">
        <v>10200</v>
      </c>
      <c r="C20" s="10">
        <v>4200</v>
      </c>
      <c r="D20" s="6">
        <v>0</v>
      </c>
      <c r="E20" s="10">
        <v>650</v>
      </c>
    </row>
    <row r="21" spans="1:5" ht="14.25" thickTop="1" x14ac:dyDescent="0.15"/>
  </sheetData>
  <sheetProtection algorithmName="SHA-512" hashValue="tTCpe2YYBoixlLjVVwAqvWxwg0mM7DDb/zEPDHWok/djdwdCOm3m5dstXTnEZYQCEaeIr/7yJomQTCPX80OE8A==" saltValue="DhS4HgapV0mYD7J5H/NKNA==" spinCount="100000" sheet="1" selectLockedCell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計算シート</vt:lpstr>
      <vt:lpstr>新税率</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俊輔</dc:creator>
  <cp:lastModifiedBy>齋藤　未佳</cp:lastModifiedBy>
  <cp:lastPrinted>2025-12-17T02:03:27Z</cp:lastPrinted>
  <dcterms:created xsi:type="dcterms:W3CDTF">2023-12-20T05:01:06Z</dcterms:created>
  <dcterms:modified xsi:type="dcterms:W3CDTF">2026-03-10T23:53:14Z</dcterms:modified>
</cp:coreProperties>
</file>